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PabloIglesiasSentiment\Fecha1\"/>
    </mc:Choice>
  </mc:AlternateContent>
  <xr:revisionPtr revIDLastSave="0" documentId="13_ncr:1_{B8F2B532-4A5D-4D2A-B553-DE8CF7FAB151}" xr6:coauthVersionLast="40" xr6:coauthVersionMax="40" xr10:uidLastSave="{00000000-0000-0000-0000-000000000000}"/>
  <bookViews>
    <workbookView xWindow="0" yWindow="0" windowWidth="23040" windowHeight="8412" xr2:uid="{00000000-000D-0000-FFFF-FFFF00000000}"/>
  </bookViews>
  <sheets>
    <sheet name="&quot;Pablo Iglesias&quot; langes -filter" sheetId="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478" i="3" l="1"/>
  <c r="K2478" i="3"/>
  <c r="E2478" i="3"/>
  <c r="B2478" i="3"/>
  <c r="U2477" i="3"/>
  <c r="K2477" i="3"/>
  <c r="E2477" i="3"/>
  <c r="B2477" i="3"/>
  <c r="U2476" i="3"/>
  <c r="K2476" i="3"/>
  <c r="E2476" i="3"/>
  <c r="B2476" i="3"/>
  <c r="U2475" i="3"/>
  <c r="K2475" i="3"/>
  <c r="E2475" i="3"/>
  <c r="B2475" i="3"/>
  <c r="U2474" i="3"/>
  <c r="K2474" i="3"/>
  <c r="E2474" i="3"/>
  <c r="B2474" i="3"/>
  <c r="K2473" i="3"/>
  <c r="E2473" i="3"/>
  <c r="B2473" i="3"/>
  <c r="U2472" i="3"/>
  <c r="K2472" i="3"/>
  <c r="E2472" i="3"/>
  <c r="B2472" i="3"/>
  <c r="U2471" i="3"/>
  <c r="K2471" i="3"/>
  <c r="E2471" i="3"/>
  <c r="B2471" i="3"/>
  <c r="U2470" i="3"/>
  <c r="K2470" i="3"/>
  <c r="E2470" i="3"/>
  <c r="B2470" i="3"/>
  <c r="U2469" i="3"/>
  <c r="K2469" i="3"/>
  <c r="E2469" i="3"/>
  <c r="B2469" i="3"/>
  <c r="U2468" i="3"/>
  <c r="K2468" i="3"/>
  <c r="E2468" i="3"/>
  <c r="B2468" i="3"/>
  <c r="U2467" i="3"/>
  <c r="K2467" i="3"/>
  <c r="E2467" i="3"/>
  <c r="B2467" i="3"/>
  <c r="U2466" i="3"/>
  <c r="K2466" i="3"/>
  <c r="E2466" i="3"/>
  <c r="B2466" i="3"/>
  <c r="U2465" i="3"/>
  <c r="K2465" i="3"/>
  <c r="E2465" i="3"/>
  <c r="B2465" i="3"/>
  <c r="U2464" i="3"/>
  <c r="K2464" i="3"/>
  <c r="E2464" i="3"/>
  <c r="B2464" i="3"/>
  <c r="U2463" i="3"/>
  <c r="K2463" i="3"/>
  <c r="E2463" i="3"/>
  <c r="B2463" i="3"/>
  <c r="U2462" i="3"/>
  <c r="K2462" i="3"/>
  <c r="E2462" i="3"/>
  <c r="B2462" i="3"/>
  <c r="U2461" i="3"/>
  <c r="K2461" i="3"/>
  <c r="E2461" i="3"/>
  <c r="B2461" i="3"/>
  <c r="U2460" i="3"/>
  <c r="K2460" i="3"/>
  <c r="E2460" i="3"/>
  <c r="B2460" i="3"/>
  <c r="U2459" i="3"/>
  <c r="K2459" i="3"/>
  <c r="E2459" i="3"/>
  <c r="B2459" i="3"/>
  <c r="U2458" i="3"/>
  <c r="K2458" i="3"/>
  <c r="E2458" i="3"/>
  <c r="B2458" i="3"/>
  <c r="U2457" i="3"/>
  <c r="K2457" i="3"/>
  <c r="E2457" i="3"/>
  <c r="B2457" i="3"/>
  <c r="U2456" i="3"/>
  <c r="K2456" i="3"/>
  <c r="E2456" i="3"/>
  <c r="B2456" i="3"/>
  <c r="U2455" i="3"/>
  <c r="K2455" i="3"/>
  <c r="E2455" i="3"/>
  <c r="B2455" i="3"/>
  <c r="U2454" i="3"/>
  <c r="K2454" i="3"/>
  <c r="E2454" i="3"/>
  <c r="B2454" i="3"/>
  <c r="U2453" i="3"/>
  <c r="K2453" i="3"/>
  <c r="E2453" i="3"/>
  <c r="B2453" i="3"/>
  <c r="U2452" i="3"/>
  <c r="K2452" i="3"/>
  <c r="E2452" i="3"/>
  <c r="B2452" i="3"/>
  <c r="U2451" i="3"/>
  <c r="K2451" i="3"/>
  <c r="E2451" i="3"/>
  <c r="B2451" i="3"/>
  <c r="U2450" i="3"/>
  <c r="K2450" i="3"/>
  <c r="E2450" i="3"/>
  <c r="B2450" i="3"/>
  <c r="U2449" i="3"/>
  <c r="K2449" i="3"/>
  <c r="E2449" i="3"/>
  <c r="B2449" i="3"/>
  <c r="U2448" i="3"/>
  <c r="K2448" i="3"/>
  <c r="E2448" i="3"/>
  <c r="B2448" i="3"/>
  <c r="U2447" i="3"/>
  <c r="K2447" i="3"/>
  <c r="E2447" i="3"/>
  <c r="B2447" i="3"/>
  <c r="U2446" i="3"/>
  <c r="K2446" i="3"/>
  <c r="E2446" i="3"/>
  <c r="B2446" i="3"/>
  <c r="U2445" i="3"/>
  <c r="K2445" i="3"/>
  <c r="E2445" i="3"/>
  <c r="B2445" i="3"/>
  <c r="U2444" i="3"/>
  <c r="K2444" i="3"/>
  <c r="E2444" i="3"/>
  <c r="B2444" i="3"/>
  <c r="U2443" i="3"/>
  <c r="K2443" i="3"/>
  <c r="E2443" i="3"/>
  <c r="B2443" i="3"/>
  <c r="U2442" i="3"/>
  <c r="K2442" i="3"/>
  <c r="E2442" i="3"/>
  <c r="B2442" i="3"/>
  <c r="U2441" i="3"/>
  <c r="K2441" i="3"/>
  <c r="E2441" i="3"/>
  <c r="B2441" i="3"/>
  <c r="K2440" i="3"/>
  <c r="E2440" i="3"/>
  <c r="B2440" i="3"/>
  <c r="U2439" i="3"/>
  <c r="K2439" i="3"/>
  <c r="E2439" i="3"/>
  <c r="B2439" i="3"/>
  <c r="U2438" i="3"/>
  <c r="K2438" i="3"/>
  <c r="E2438" i="3"/>
  <c r="B2438" i="3"/>
  <c r="U2437" i="3"/>
  <c r="K2437" i="3"/>
  <c r="E2437" i="3"/>
  <c r="B2437" i="3"/>
  <c r="U2436" i="3"/>
  <c r="K2436" i="3"/>
  <c r="E2436" i="3"/>
  <c r="B2436" i="3"/>
  <c r="U2435" i="3"/>
  <c r="K2435" i="3"/>
  <c r="E2435" i="3"/>
  <c r="B2435" i="3"/>
  <c r="U2434" i="3"/>
  <c r="K2434" i="3"/>
  <c r="E2434" i="3"/>
  <c r="B2434" i="3"/>
  <c r="U2433" i="3"/>
  <c r="K2433" i="3"/>
  <c r="E2433" i="3"/>
  <c r="B2433" i="3"/>
  <c r="U2432" i="3"/>
  <c r="K2432" i="3"/>
  <c r="E2432" i="3"/>
  <c r="B2432" i="3"/>
  <c r="U2431" i="3"/>
  <c r="K2431" i="3"/>
  <c r="E2431" i="3"/>
  <c r="B2431" i="3"/>
  <c r="U2430" i="3"/>
  <c r="K2430" i="3"/>
  <c r="E2430" i="3"/>
  <c r="B2430" i="3"/>
  <c r="U2429" i="3"/>
  <c r="K2429" i="3"/>
  <c r="E2429" i="3"/>
  <c r="B2429" i="3"/>
  <c r="U2428" i="3"/>
  <c r="K2428" i="3"/>
  <c r="E2428" i="3"/>
  <c r="B2428" i="3"/>
  <c r="U2427" i="3"/>
  <c r="K2427" i="3"/>
  <c r="E2427" i="3"/>
  <c r="B2427" i="3"/>
  <c r="U2426" i="3"/>
  <c r="K2426" i="3"/>
  <c r="E2426" i="3"/>
  <c r="B2426" i="3"/>
  <c r="U2425" i="3"/>
  <c r="K2425" i="3"/>
  <c r="E2425" i="3"/>
  <c r="B2425" i="3"/>
  <c r="U2424" i="3"/>
  <c r="K2424" i="3"/>
  <c r="E2424" i="3"/>
  <c r="B2424" i="3"/>
  <c r="U2423" i="3"/>
  <c r="K2423" i="3"/>
  <c r="E2423" i="3"/>
  <c r="B2423" i="3"/>
  <c r="U2422" i="3"/>
  <c r="K2422" i="3"/>
  <c r="E2422" i="3"/>
  <c r="B2422" i="3"/>
  <c r="U2421" i="3"/>
  <c r="K2421" i="3"/>
  <c r="E2421" i="3"/>
  <c r="B2421" i="3"/>
  <c r="U2420" i="3"/>
  <c r="K2420" i="3"/>
  <c r="E2420" i="3"/>
  <c r="B2420" i="3"/>
  <c r="U2419" i="3"/>
  <c r="K2419" i="3"/>
  <c r="E2419" i="3"/>
  <c r="B2419" i="3"/>
  <c r="U2418" i="3"/>
  <c r="K2418" i="3"/>
  <c r="E2418" i="3"/>
  <c r="B2418" i="3"/>
  <c r="U2417" i="3"/>
  <c r="K2417" i="3"/>
  <c r="E2417" i="3"/>
  <c r="B2417" i="3"/>
  <c r="U2416" i="3"/>
  <c r="K2416" i="3"/>
  <c r="E2416" i="3"/>
  <c r="B2416" i="3"/>
  <c r="U2415" i="3"/>
  <c r="K2415" i="3"/>
  <c r="E2415" i="3"/>
  <c r="B2415" i="3"/>
  <c r="U2414" i="3"/>
  <c r="K2414" i="3"/>
  <c r="E2414" i="3"/>
  <c r="B2414" i="3"/>
  <c r="U2413" i="3"/>
  <c r="K2413" i="3"/>
  <c r="E2413" i="3"/>
  <c r="B2413" i="3"/>
  <c r="U2412" i="3"/>
  <c r="K2412" i="3"/>
  <c r="E2412" i="3"/>
  <c r="B2412" i="3"/>
  <c r="U2411" i="3"/>
  <c r="K2411" i="3"/>
  <c r="E2411" i="3"/>
  <c r="B2411" i="3"/>
  <c r="U2410" i="3"/>
  <c r="K2410" i="3"/>
  <c r="E2410" i="3"/>
  <c r="B2410" i="3"/>
  <c r="U2409" i="3"/>
  <c r="K2409" i="3"/>
  <c r="E2409" i="3"/>
  <c r="B2409" i="3"/>
  <c r="U2408" i="3"/>
  <c r="K2408" i="3"/>
  <c r="E2408" i="3"/>
  <c r="B2408" i="3"/>
  <c r="U2407" i="3"/>
  <c r="K2407" i="3"/>
  <c r="E2407" i="3"/>
  <c r="B2407" i="3"/>
  <c r="U2406" i="3"/>
  <c r="K2406" i="3"/>
  <c r="E2406" i="3"/>
  <c r="B2406" i="3"/>
  <c r="U2405" i="3"/>
  <c r="K2405" i="3"/>
  <c r="E2405" i="3"/>
  <c r="B2405" i="3"/>
  <c r="U2404" i="3"/>
  <c r="K2404" i="3"/>
  <c r="E2404" i="3"/>
  <c r="B2404" i="3"/>
  <c r="U2403" i="3"/>
  <c r="K2403" i="3"/>
  <c r="E2403" i="3"/>
  <c r="B2403" i="3"/>
  <c r="U2402" i="3"/>
  <c r="K2402" i="3"/>
  <c r="E2402" i="3"/>
  <c r="B2402" i="3"/>
  <c r="U2401" i="3"/>
  <c r="K2401" i="3"/>
  <c r="E2401" i="3"/>
  <c r="B2401" i="3"/>
  <c r="U2400" i="3"/>
  <c r="K2400" i="3"/>
  <c r="E2400" i="3"/>
  <c r="B2400" i="3"/>
  <c r="U2399" i="3"/>
  <c r="K2399" i="3"/>
  <c r="E2399" i="3"/>
  <c r="B2399" i="3"/>
  <c r="U2398" i="3"/>
  <c r="K2398" i="3"/>
  <c r="E2398" i="3"/>
  <c r="B2398" i="3"/>
  <c r="U2397" i="3"/>
  <c r="K2397" i="3"/>
  <c r="E2397" i="3"/>
  <c r="B2397" i="3"/>
  <c r="U2396" i="3"/>
  <c r="K2396" i="3"/>
  <c r="E2396" i="3"/>
  <c r="B2396" i="3"/>
  <c r="U2395" i="3"/>
  <c r="K2395" i="3"/>
  <c r="E2395" i="3"/>
  <c r="B2395" i="3"/>
  <c r="U2394" i="3"/>
  <c r="K2394" i="3"/>
  <c r="E2394" i="3"/>
  <c r="B2394" i="3"/>
  <c r="U2393" i="3"/>
  <c r="K2393" i="3"/>
  <c r="E2393" i="3"/>
  <c r="B2393" i="3"/>
  <c r="U2392" i="3"/>
  <c r="K2392" i="3"/>
  <c r="E2392" i="3"/>
  <c r="B2392" i="3"/>
  <c r="U2391" i="3"/>
  <c r="K2391" i="3"/>
  <c r="E2391" i="3"/>
  <c r="B2391" i="3"/>
  <c r="U2390" i="3"/>
  <c r="K2390" i="3"/>
  <c r="E2390" i="3"/>
  <c r="B2390" i="3"/>
  <c r="U2389" i="3"/>
  <c r="K2389" i="3"/>
  <c r="E2389" i="3"/>
  <c r="B2389" i="3"/>
  <c r="U2388" i="3"/>
  <c r="K2388" i="3"/>
  <c r="E2388" i="3"/>
  <c r="B2388" i="3"/>
  <c r="U2387" i="3"/>
  <c r="K2387" i="3"/>
  <c r="E2387" i="3"/>
  <c r="B2387" i="3"/>
  <c r="U2386" i="3"/>
  <c r="K2386" i="3"/>
  <c r="E2386" i="3"/>
  <c r="B2386" i="3"/>
  <c r="U2385" i="3"/>
  <c r="K2385" i="3"/>
  <c r="E2385" i="3"/>
  <c r="B2385" i="3"/>
  <c r="U2384" i="3"/>
  <c r="K2384" i="3"/>
  <c r="E2384" i="3"/>
  <c r="B2384" i="3"/>
  <c r="U2383" i="3"/>
  <c r="K2383" i="3"/>
  <c r="E2383" i="3"/>
  <c r="B2383" i="3"/>
  <c r="U2382" i="3"/>
  <c r="K2382" i="3"/>
  <c r="E2382" i="3"/>
  <c r="B2382" i="3"/>
  <c r="U2381" i="3"/>
  <c r="K2381" i="3"/>
  <c r="E2381" i="3"/>
  <c r="B2381" i="3"/>
  <c r="U2380" i="3"/>
  <c r="K2380" i="3"/>
  <c r="E2380" i="3"/>
  <c r="B2380" i="3"/>
  <c r="U2379" i="3"/>
  <c r="K2379" i="3"/>
  <c r="E2379" i="3"/>
  <c r="B2379" i="3"/>
  <c r="U2378" i="3"/>
  <c r="K2378" i="3"/>
  <c r="E2378" i="3"/>
  <c r="B2378" i="3"/>
  <c r="U2377" i="3"/>
  <c r="K2377" i="3"/>
  <c r="E2377" i="3"/>
  <c r="B2377" i="3"/>
  <c r="U2376" i="3"/>
  <c r="K2376" i="3"/>
  <c r="E2376" i="3"/>
  <c r="B2376" i="3"/>
  <c r="U2375" i="3"/>
  <c r="K2375" i="3"/>
  <c r="E2375" i="3"/>
  <c r="B2375" i="3"/>
  <c r="U2374" i="3"/>
  <c r="K2374" i="3"/>
  <c r="E2374" i="3"/>
  <c r="B2374" i="3"/>
  <c r="U2373" i="3"/>
  <c r="K2373" i="3"/>
  <c r="E2373" i="3"/>
  <c r="B2373" i="3"/>
  <c r="U2372" i="3"/>
  <c r="K2372" i="3"/>
  <c r="E2372" i="3"/>
  <c r="B2372" i="3"/>
  <c r="U2371" i="3"/>
  <c r="K2371" i="3"/>
  <c r="E2371" i="3"/>
  <c r="B2371" i="3"/>
  <c r="U2370" i="3"/>
  <c r="K2370" i="3"/>
  <c r="E2370" i="3"/>
  <c r="B2370" i="3"/>
  <c r="U2369" i="3"/>
  <c r="K2369" i="3"/>
  <c r="E2369" i="3"/>
  <c r="B2369" i="3"/>
  <c r="U2368" i="3"/>
  <c r="K2368" i="3"/>
  <c r="E2368" i="3"/>
  <c r="B2368" i="3"/>
  <c r="U2367" i="3"/>
  <c r="K2367" i="3"/>
  <c r="E2367" i="3"/>
  <c r="B2367" i="3"/>
  <c r="U2366" i="3"/>
  <c r="K2366" i="3"/>
  <c r="E2366" i="3"/>
  <c r="B2366" i="3"/>
  <c r="U2365" i="3"/>
  <c r="K2365" i="3"/>
  <c r="E2365" i="3"/>
  <c r="B2365" i="3"/>
  <c r="U2364" i="3"/>
  <c r="K2364" i="3"/>
  <c r="E2364" i="3"/>
  <c r="B2364" i="3"/>
  <c r="U2363" i="3"/>
  <c r="K2363" i="3"/>
  <c r="E2363" i="3"/>
  <c r="B2363" i="3"/>
  <c r="U2362" i="3"/>
  <c r="K2362" i="3"/>
  <c r="E2362" i="3"/>
  <c r="B2362" i="3"/>
  <c r="U2361" i="3"/>
  <c r="K2361" i="3"/>
  <c r="E2361" i="3"/>
  <c r="B2361" i="3"/>
  <c r="U2360" i="3"/>
  <c r="K2360" i="3"/>
  <c r="E2360" i="3"/>
  <c r="B2360" i="3"/>
  <c r="U2359" i="3"/>
  <c r="K2359" i="3"/>
  <c r="E2359" i="3"/>
  <c r="B2359" i="3"/>
  <c r="U2358" i="3"/>
  <c r="K2358" i="3"/>
  <c r="E2358" i="3"/>
  <c r="B2358" i="3"/>
  <c r="U2357" i="3"/>
  <c r="K2357" i="3"/>
  <c r="E2357" i="3"/>
  <c r="B2357" i="3"/>
  <c r="U2356" i="3"/>
  <c r="K2356" i="3"/>
  <c r="E2356" i="3"/>
  <c r="B2356" i="3"/>
  <c r="U2355" i="3"/>
  <c r="K2355" i="3"/>
  <c r="E2355" i="3"/>
  <c r="B2355" i="3"/>
  <c r="U2354" i="3"/>
  <c r="K2354" i="3"/>
  <c r="E2354" i="3"/>
  <c r="B2354" i="3"/>
  <c r="U2353" i="3"/>
  <c r="K2353" i="3"/>
  <c r="E2353" i="3"/>
  <c r="B2353" i="3"/>
  <c r="U2352" i="3"/>
  <c r="K2352" i="3"/>
  <c r="E2352" i="3"/>
  <c r="B2352" i="3"/>
  <c r="U2351" i="3"/>
  <c r="K2351" i="3"/>
  <c r="E2351" i="3"/>
  <c r="B2351" i="3"/>
  <c r="U2350" i="3"/>
  <c r="K2350" i="3"/>
  <c r="E2350" i="3"/>
  <c r="B2350" i="3"/>
  <c r="U2349" i="3"/>
  <c r="K2349" i="3"/>
  <c r="E2349" i="3"/>
  <c r="B2349" i="3"/>
  <c r="U2348" i="3"/>
  <c r="K2348" i="3"/>
  <c r="E2348" i="3"/>
  <c r="B2348" i="3"/>
  <c r="U2347" i="3"/>
  <c r="K2347" i="3"/>
  <c r="E2347" i="3"/>
  <c r="B2347" i="3"/>
  <c r="U2346" i="3"/>
  <c r="K2346" i="3"/>
  <c r="E2346" i="3"/>
  <c r="B2346" i="3"/>
  <c r="U2345" i="3"/>
  <c r="K2345" i="3"/>
  <c r="E2345" i="3"/>
  <c r="B2345" i="3"/>
  <c r="U2344" i="3"/>
  <c r="K2344" i="3"/>
  <c r="E2344" i="3"/>
  <c r="B2344" i="3"/>
  <c r="U2343" i="3"/>
  <c r="K2343" i="3"/>
  <c r="E2343" i="3"/>
  <c r="B2343" i="3"/>
  <c r="U2342" i="3"/>
  <c r="K2342" i="3"/>
  <c r="E2342" i="3"/>
  <c r="B2342" i="3"/>
  <c r="U2341" i="3"/>
  <c r="K2341" i="3"/>
  <c r="E2341" i="3"/>
  <c r="B2341" i="3"/>
  <c r="U2340" i="3"/>
  <c r="K2340" i="3"/>
  <c r="E2340" i="3"/>
  <c r="B2340" i="3"/>
  <c r="U2339" i="3"/>
  <c r="K2339" i="3"/>
  <c r="E2339" i="3"/>
  <c r="B2339" i="3"/>
  <c r="U2338" i="3"/>
  <c r="K2338" i="3"/>
  <c r="E2338" i="3"/>
  <c r="B2338" i="3"/>
  <c r="U2337" i="3"/>
  <c r="K2337" i="3"/>
  <c r="E2337" i="3"/>
  <c r="B2337" i="3"/>
  <c r="U2336" i="3"/>
  <c r="K2336" i="3"/>
  <c r="E2336" i="3"/>
  <c r="B2336" i="3"/>
  <c r="U2335" i="3"/>
  <c r="K2335" i="3"/>
  <c r="E2335" i="3"/>
  <c r="B2335" i="3"/>
  <c r="U2334" i="3"/>
  <c r="K2334" i="3"/>
  <c r="E2334" i="3"/>
  <c r="B2334" i="3"/>
  <c r="U2333" i="3"/>
  <c r="K2333" i="3"/>
  <c r="E2333" i="3"/>
  <c r="B2333" i="3"/>
  <c r="U2332" i="3"/>
  <c r="K2332" i="3"/>
  <c r="E2332" i="3"/>
  <c r="B2332" i="3"/>
  <c r="U2331" i="3"/>
  <c r="K2331" i="3"/>
  <c r="E2331" i="3"/>
  <c r="B2331" i="3"/>
  <c r="U2330" i="3"/>
  <c r="K2330" i="3"/>
  <c r="E2330" i="3"/>
  <c r="B2330" i="3"/>
  <c r="U2329" i="3"/>
  <c r="K2329" i="3"/>
  <c r="E2329" i="3"/>
  <c r="B2329" i="3"/>
  <c r="U2328" i="3"/>
  <c r="K2328" i="3"/>
  <c r="E2328" i="3"/>
  <c r="B2328" i="3"/>
  <c r="U2327" i="3"/>
  <c r="K2327" i="3"/>
  <c r="E2327" i="3"/>
  <c r="B2327" i="3"/>
  <c r="U2326" i="3"/>
  <c r="K2326" i="3"/>
  <c r="E2326" i="3"/>
  <c r="B2326" i="3"/>
  <c r="U2325" i="3"/>
  <c r="K2325" i="3"/>
  <c r="E2325" i="3"/>
  <c r="B2325" i="3"/>
  <c r="U2324" i="3"/>
  <c r="K2324" i="3"/>
  <c r="E2324" i="3"/>
  <c r="B2324" i="3"/>
  <c r="U2323" i="3"/>
  <c r="K2323" i="3"/>
  <c r="E2323" i="3"/>
  <c r="B2323" i="3"/>
  <c r="U2322" i="3"/>
  <c r="K2322" i="3"/>
  <c r="E2322" i="3"/>
  <c r="B2322" i="3"/>
  <c r="U2321" i="3"/>
  <c r="K2321" i="3"/>
  <c r="E2321" i="3"/>
  <c r="B2321" i="3"/>
  <c r="U2320" i="3"/>
  <c r="K2320" i="3"/>
  <c r="E2320" i="3"/>
  <c r="B2320" i="3"/>
  <c r="U2319" i="3"/>
  <c r="K2319" i="3"/>
  <c r="E2319" i="3"/>
  <c r="B2319" i="3"/>
  <c r="U2318" i="3"/>
  <c r="K2318" i="3"/>
  <c r="E2318" i="3"/>
  <c r="B2318" i="3"/>
  <c r="U2317" i="3"/>
  <c r="K2317" i="3"/>
  <c r="E2317" i="3"/>
  <c r="B2317" i="3"/>
  <c r="U2316" i="3"/>
  <c r="K2316" i="3"/>
  <c r="E2316" i="3"/>
  <c r="B2316" i="3"/>
  <c r="U2315" i="3"/>
  <c r="K2315" i="3"/>
  <c r="E2315" i="3"/>
  <c r="B2315" i="3"/>
  <c r="U2314" i="3"/>
  <c r="K2314" i="3"/>
  <c r="E2314" i="3"/>
  <c r="B2314" i="3"/>
  <c r="U2313" i="3"/>
  <c r="K2313" i="3"/>
  <c r="E2313" i="3"/>
  <c r="B2313" i="3"/>
  <c r="U2312" i="3"/>
  <c r="K2312" i="3"/>
  <c r="E2312" i="3"/>
  <c r="B2312" i="3"/>
  <c r="U2311" i="3"/>
  <c r="K2311" i="3"/>
  <c r="E2311" i="3"/>
  <c r="B2311" i="3"/>
  <c r="U2310" i="3"/>
  <c r="K2310" i="3"/>
  <c r="E2310" i="3"/>
  <c r="B2310" i="3"/>
  <c r="U2309" i="3"/>
  <c r="K2309" i="3"/>
  <c r="E2309" i="3"/>
  <c r="B2309" i="3"/>
  <c r="U2308" i="3"/>
  <c r="K2308" i="3"/>
  <c r="E2308" i="3"/>
  <c r="B2308" i="3"/>
  <c r="U2307" i="3"/>
  <c r="K2307" i="3"/>
  <c r="E2307" i="3"/>
  <c r="B2307" i="3"/>
  <c r="U2306" i="3"/>
  <c r="K2306" i="3"/>
  <c r="E2306" i="3"/>
  <c r="B2306" i="3"/>
  <c r="U2305" i="3"/>
  <c r="K2305" i="3"/>
  <c r="E2305" i="3"/>
  <c r="B2305" i="3"/>
  <c r="U2304" i="3"/>
  <c r="K2304" i="3"/>
  <c r="E2304" i="3"/>
  <c r="B2304" i="3"/>
  <c r="U2303" i="3"/>
  <c r="K2303" i="3"/>
  <c r="E2303" i="3"/>
  <c r="B2303" i="3"/>
  <c r="U2302" i="3"/>
  <c r="K2302" i="3"/>
  <c r="E2302" i="3"/>
  <c r="B2302" i="3"/>
  <c r="U2301" i="3"/>
  <c r="K2301" i="3"/>
  <c r="E2301" i="3"/>
  <c r="B2301" i="3"/>
  <c r="U2300" i="3"/>
  <c r="K2300" i="3"/>
  <c r="E2300" i="3"/>
  <c r="B2300" i="3"/>
  <c r="U2299" i="3"/>
  <c r="K2299" i="3"/>
  <c r="E2299" i="3"/>
  <c r="B2299" i="3"/>
  <c r="K2298" i="3"/>
  <c r="E2298" i="3"/>
  <c r="B2298" i="3"/>
  <c r="U2297" i="3"/>
  <c r="K2297" i="3"/>
  <c r="E2297" i="3"/>
  <c r="B2297" i="3"/>
  <c r="U2296" i="3"/>
  <c r="K2296" i="3"/>
  <c r="E2296" i="3"/>
  <c r="B2296" i="3"/>
  <c r="U2295" i="3"/>
  <c r="K2295" i="3"/>
  <c r="E2295" i="3"/>
  <c r="B2295" i="3"/>
  <c r="U2294" i="3"/>
  <c r="K2294" i="3"/>
  <c r="E2294" i="3"/>
  <c r="B2294" i="3"/>
  <c r="U2293" i="3"/>
  <c r="K2293" i="3"/>
  <c r="E2293" i="3"/>
  <c r="B2293" i="3"/>
  <c r="U2292" i="3"/>
  <c r="K2292" i="3"/>
  <c r="E2292" i="3"/>
  <c r="B2292" i="3"/>
  <c r="U2291" i="3"/>
  <c r="K2291" i="3"/>
  <c r="E2291" i="3"/>
  <c r="B2291" i="3"/>
  <c r="U2290" i="3"/>
  <c r="K2290" i="3"/>
  <c r="E2290" i="3"/>
  <c r="B2290" i="3"/>
  <c r="U2289" i="3"/>
  <c r="K2289" i="3"/>
  <c r="E2289" i="3"/>
  <c r="B2289" i="3"/>
  <c r="U2288" i="3"/>
  <c r="K2288" i="3"/>
  <c r="E2288" i="3"/>
  <c r="B2288" i="3"/>
  <c r="U2287" i="3"/>
  <c r="K2287" i="3"/>
  <c r="E2287" i="3"/>
  <c r="B2287" i="3"/>
  <c r="U2286" i="3"/>
  <c r="K2286" i="3"/>
  <c r="E2286" i="3"/>
  <c r="B2286" i="3"/>
  <c r="U2285" i="3"/>
  <c r="K2285" i="3"/>
  <c r="E2285" i="3"/>
  <c r="B2285" i="3"/>
  <c r="U2284" i="3"/>
  <c r="K2284" i="3"/>
  <c r="E2284" i="3"/>
  <c r="B2284" i="3"/>
  <c r="U2283" i="3"/>
  <c r="K2283" i="3"/>
  <c r="E2283" i="3"/>
  <c r="B2283" i="3"/>
  <c r="U2282" i="3"/>
  <c r="K2282" i="3"/>
  <c r="E2282" i="3"/>
  <c r="B2282" i="3"/>
  <c r="U2281" i="3"/>
  <c r="K2281" i="3"/>
  <c r="E2281" i="3"/>
  <c r="B2281" i="3"/>
  <c r="U2280" i="3"/>
  <c r="K2280" i="3"/>
  <c r="E2280" i="3"/>
  <c r="B2280" i="3"/>
  <c r="U2279" i="3"/>
  <c r="K2279" i="3"/>
  <c r="E2279" i="3"/>
  <c r="B2279" i="3"/>
  <c r="U2278" i="3"/>
  <c r="K2278" i="3"/>
  <c r="E2278" i="3"/>
  <c r="B2278" i="3"/>
  <c r="U2277" i="3"/>
  <c r="K2277" i="3"/>
  <c r="E2277" i="3"/>
  <c r="B2277" i="3"/>
  <c r="U2276" i="3"/>
  <c r="K2276" i="3"/>
  <c r="E2276" i="3"/>
  <c r="B2276" i="3"/>
  <c r="U2275" i="3"/>
  <c r="K2275" i="3"/>
  <c r="E2275" i="3"/>
  <c r="B2275" i="3"/>
  <c r="U2274" i="3"/>
  <c r="K2274" i="3"/>
  <c r="E2274" i="3"/>
  <c r="B2274" i="3"/>
  <c r="U2273" i="3"/>
  <c r="K2273" i="3"/>
  <c r="E2273" i="3"/>
  <c r="B2273" i="3"/>
  <c r="U2272" i="3"/>
  <c r="K2272" i="3"/>
  <c r="E2272" i="3"/>
  <c r="B2272" i="3"/>
  <c r="U2271" i="3"/>
  <c r="K2271" i="3"/>
  <c r="E2271" i="3"/>
  <c r="B2271" i="3"/>
  <c r="U2270" i="3"/>
  <c r="K2270" i="3"/>
  <c r="E2270" i="3"/>
  <c r="B2270" i="3"/>
  <c r="U2269" i="3"/>
  <c r="K2269" i="3"/>
  <c r="E2269" i="3"/>
  <c r="B2269" i="3"/>
  <c r="U2268" i="3"/>
  <c r="K2268" i="3"/>
  <c r="E2268" i="3"/>
  <c r="B2268" i="3"/>
  <c r="U2267" i="3"/>
  <c r="K2267" i="3"/>
  <c r="E2267" i="3"/>
  <c r="B2267" i="3"/>
  <c r="U2266" i="3"/>
  <c r="K2266" i="3"/>
  <c r="E2266" i="3"/>
  <c r="B2266" i="3"/>
  <c r="U2265" i="3"/>
  <c r="K2265" i="3"/>
  <c r="E2265" i="3"/>
  <c r="B2265" i="3"/>
  <c r="U2264" i="3"/>
  <c r="K2264" i="3"/>
  <c r="E2264" i="3"/>
  <c r="B2264" i="3"/>
  <c r="U2263" i="3"/>
  <c r="K2263" i="3"/>
  <c r="E2263" i="3"/>
  <c r="B2263" i="3"/>
  <c r="U2262" i="3"/>
  <c r="K2262" i="3"/>
  <c r="E2262" i="3"/>
  <c r="B2262" i="3"/>
  <c r="U2261" i="3"/>
  <c r="K2261" i="3"/>
  <c r="E2261" i="3"/>
  <c r="B2261" i="3"/>
  <c r="U2260" i="3"/>
  <c r="K2260" i="3"/>
  <c r="E2260" i="3"/>
  <c r="B2260" i="3"/>
  <c r="U2259" i="3"/>
  <c r="K2259" i="3"/>
  <c r="E2259" i="3"/>
  <c r="B2259" i="3"/>
  <c r="U2258" i="3"/>
  <c r="K2258" i="3"/>
  <c r="E2258" i="3"/>
  <c r="B2258" i="3"/>
  <c r="U2257" i="3"/>
  <c r="K2257" i="3"/>
  <c r="E2257" i="3"/>
  <c r="B2257" i="3"/>
  <c r="U2256" i="3"/>
  <c r="K2256" i="3"/>
  <c r="E2256" i="3"/>
  <c r="B2256" i="3"/>
  <c r="U2255" i="3"/>
  <c r="K2255" i="3"/>
  <c r="E2255" i="3"/>
  <c r="B2255" i="3"/>
  <c r="U2254" i="3"/>
  <c r="K2254" i="3"/>
  <c r="E2254" i="3"/>
  <c r="B2254" i="3"/>
  <c r="U2253" i="3"/>
  <c r="K2253" i="3"/>
  <c r="E2253" i="3"/>
  <c r="B2253" i="3"/>
  <c r="U2252" i="3"/>
  <c r="K2252" i="3"/>
  <c r="E2252" i="3"/>
  <c r="B2252" i="3"/>
  <c r="U2251" i="3"/>
  <c r="K2251" i="3"/>
  <c r="E2251" i="3"/>
  <c r="B2251" i="3"/>
  <c r="U2250" i="3"/>
  <c r="K2250" i="3"/>
  <c r="E2250" i="3"/>
  <c r="B2250" i="3"/>
  <c r="U2249" i="3"/>
  <c r="K2249" i="3"/>
  <c r="E2249" i="3"/>
  <c r="B2249" i="3"/>
  <c r="U2248" i="3"/>
  <c r="K2248" i="3"/>
  <c r="E2248" i="3"/>
  <c r="B2248" i="3"/>
  <c r="U2247" i="3"/>
  <c r="K2247" i="3"/>
  <c r="E2247" i="3"/>
  <c r="B2247" i="3"/>
  <c r="U2246" i="3"/>
  <c r="K2246" i="3"/>
  <c r="E2246" i="3"/>
  <c r="B2246" i="3"/>
  <c r="U2245" i="3"/>
  <c r="K2245" i="3"/>
  <c r="E2245" i="3"/>
  <c r="B2245" i="3"/>
  <c r="U2244" i="3"/>
  <c r="K2244" i="3"/>
  <c r="E2244" i="3"/>
  <c r="B2244" i="3"/>
  <c r="U2243" i="3"/>
  <c r="K2243" i="3"/>
  <c r="E2243" i="3"/>
  <c r="B2243" i="3"/>
  <c r="U2242" i="3"/>
  <c r="K2242" i="3"/>
  <c r="E2242" i="3"/>
  <c r="B2242" i="3"/>
  <c r="U2241" i="3"/>
  <c r="K2241" i="3"/>
  <c r="E2241" i="3"/>
  <c r="B2241" i="3"/>
  <c r="U2240" i="3"/>
  <c r="K2240" i="3"/>
  <c r="E2240" i="3"/>
  <c r="B2240" i="3"/>
  <c r="U2239" i="3"/>
  <c r="K2239" i="3"/>
  <c r="E2239" i="3"/>
  <c r="B2239" i="3"/>
  <c r="U2238" i="3"/>
  <c r="K2238" i="3"/>
  <c r="E2238" i="3"/>
  <c r="B2238" i="3"/>
  <c r="U2237" i="3"/>
  <c r="K2237" i="3"/>
  <c r="E2237" i="3"/>
  <c r="B2237" i="3"/>
  <c r="U2236" i="3"/>
  <c r="K2236" i="3"/>
  <c r="E2236" i="3"/>
  <c r="B2236" i="3"/>
  <c r="U2235" i="3"/>
  <c r="K2235" i="3"/>
  <c r="E2235" i="3"/>
  <c r="B2235" i="3"/>
  <c r="U2234" i="3"/>
  <c r="K2234" i="3"/>
  <c r="E2234" i="3"/>
  <c r="B2234" i="3"/>
  <c r="U2233" i="3"/>
  <c r="K2233" i="3"/>
  <c r="E2233" i="3"/>
  <c r="B2233" i="3"/>
  <c r="U2232" i="3"/>
  <c r="K2232" i="3"/>
  <c r="E2232" i="3"/>
  <c r="B2232" i="3"/>
  <c r="U2231" i="3"/>
  <c r="K2231" i="3"/>
  <c r="E2231" i="3"/>
  <c r="B2231" i="3"/>
  <c r="U2230" i="3"/>
  <c r="K2230" i="3"/>
  <c r="E2230" i="3"/>
  <c r="B2230" i="3"/>
  <c r="U2229" i="3"/>
  <c r="K2229" i="3"/>
  <c r="E2229" i="3"/>
  <c r="B2229" i="3"/>
  <c r="U2228" i="3"/>
  <c r="K2228" i="3"/>
  <c r="E2228" i="3"/>
  <c r="B2228" i="3"/>
  <c r="U2227" i="3"/>
  <c r="K2227" i="3"/>
  <c r="E2227" i="3"/>
  <c r="B2227" i="3"/>
  <c r="U2226" i="3"/>
  <c r="K2226" i="3"/>
  <c r="E2226" i="3"/>
  <c r="B2226" i="3"/>
  <c r="U2225" i="3"/>
  <c r="K2225" i="3"/>
  <c r="E2225" i="3"/>
  <c r="B2225" i="3"/>
  <c r="U2224" i="3"/>
  <c r="K2224" i="3"/>
  <c r="E2224" i="3"/>
  <c r="B2224" i="3"/>
  <c r="U2223" i="3"/>
  <c r="K2223" i="3"/>
  <c r="E2223" i="3"/>
  <c r="B2223" i="3"/>
  <c r="U2222" i="3"/>
  <c r="K2222" i="3"/>
  <c r="E2222" i="3"/>
  <c r="B2222" i="3"/>
  <c r="U2221" i="3"/>
  <c r="K2221" i="3"/>
  <c r="E2221" i="3"/>
  <c r="B2221" i="3"/>
  <c r="U2220" i="3"/>
  <c r="K2220" i="3"/>
  <c r="E2220" i="3"/>
  <c r="B2220" i="3"/>
  <c r="U2219" i="3"/>
  <c r="K2219" i="3"/>
  <c r="E2219" i="3"/>
  <c r="B2219" i="3"/>
  <c r="U2218" i="3"/>
  <c r="K2218" i="3"/>
  <c r="E2218" i="3"/>
  <c r="B2218" i="3"/>
  <c r="U2217" i="3"/>
  <c r="K2217" i="3"/>
  <c r="E2217" i="3"/>
  <c r="B2217" i="3"/>
  <c r="K2216" i="3"/>
  <c r="E2216" i="3"/>
  <c r="B2216" i="3"/>
  <c r="U2215" i="3"/>
  <c r="K2215" i="3"/>
  <c r="E2215" i="3"/>
  <c r="B2215" i="3"/>
  <c r="U2214" i="3"/>
  <c r="K2214" i="3"/>
  <c r="E2214" i="3"/>
  <c r="B2214" i="3"/>
  <c r="U2213" i="3"/>
  <c r="K2213" i="3"/>
  <c r="E2213" i="3"/>
  <c r="B2213" i="3"/>
  <c r="U2212" i="3"/>
  <c r="K2212" i="3"/>
  <c r="E2212" i="3"/>
  <c r="B2212" i="3"/>
  <c r="U2211" i="3"/>
  <c r="K2211" i="3"/>
  <c r="E2211" i="3"/>
  <c r="B2211" i="3"/>
  <c r="U2210" i="3"/>
  <c r="K2210" i="3"/>
  <c r="E2210" i="3"/>
  <c r="B2210" i="3"/>
  <c r="U2209" i="3"/>
  <c r="K2209" i="3"/>
  <c r="E2209" i="3"/>
  <c r="B2209" i="3"/>
  <c r="U2208" i="3"/>
  <c r="K2208" i="3"/>
  <c r="E2208" i="3"/>
  <c r="B2208" i="3"/>
  <c r="U2207" i="3"/>
  <c r="K2207" i="3"/>
  <c r="E2207" i="3"/>
  <c r="B2207" i="3"/>
  <c r="U2206" i="3"/>
  <c r="K2206" i="3"/>
  <c r="E2206" i="3"/>
  <c r="B2206" i="3"/>
  <c r="U2205" i="3"/>
  <c r="K2205" i="3"/>
  <c r="E2205" i="3"/>
  <c r="B2205" i="3"/>
  <c r="U2204" i="3"/>
  <c r="K2204" i="3"/>
  <c r="E2204" i="3"/>
  <c r="B2204" i="3"/>
  <c r="U2203" i="3"/>
  <c r="K2203" i="3"/>
  <c r="E2203" i="3"/>
  <c r="B2203" i="3"/>
  <c r="U2202" i="3"/>
  <c r="K2202" i="3"/>
  <c r="E2202" i="3"/>
  <c r="B2202" i="3"/>
  <c r="U2201" i="3"/>
  <c r="K2201" i="3"/>
  <c r="E2201" i="3"/>
  <c r="B2201" i="3"/>
  <c r="U2200" i="3"/>
  <c r="K2200" i="3"/>
  <c r="E2200" i="3"/>
  <c r="B2200" i="3"/>
  <c r="U2199" i="3"/>
  <c r="K2199" i="3"/>
  <c r="E2199" i="3"/>
  <c r="B2199" i="3"/>
  <c r="U2198" i="3"/>
  <c r="K2198" i="3"/>
  <c r="E2198" i="3"/>
  <c r="B2198" i="3"/>
  <c r="U2197" i="3"/>
  <c r="K2197" i="3"/>
  <c r="E2197" i="3"/>
  <c r="B2197" i="3"/>
  <c r="U2196" i="3"/>
  <c r="K2196" i="3"/>
  <c r="E2196" i="3"/>
  <c r="B2196" i="3"/>
  <c r="U2195" i="3"/>
  <c r="K2195" i="3"/>
  <c r="E2195" i="3"/>
  <c r="B2195" i="3"/>
  <c r="U2194" i="3"/>
  <c r="K2194" i="3"/>
  <c r="E2194" i="3"/>
  <c r="B2194" i="3"/>
  <c r="U2193" i="3"/>
  <c r="K2193" i="3"/>
  <c r="E2193" i="3"/>
  <c r="B2193" i="3"/>
  <c r="U2192" i="3"/>
  <c r="K2192" i="3"/>
  <c r="E2192" i="3"/>
  <c r="B2192" i="3"/>
  <c r="U2191" i="3"/>
  <c r="K2191" i="3"/>
  <c r="E2191" i="3"/>
  <c r="B2191" i="3"/>
  <c r="U2190" i="3"/>
  <c r="K2190" i="3"/>
  <c r="E2190" i="3"/>
  <c r="B2190" i="3"/>
  <c r="U2189" i="3"/>
  <c r="K2189" i="3"/>
  <c r="E2189" i="3"/>
  <c r="B2189" i="3"/>
  <c r="U2188" i="3"/>
  <c r="K2188" i="3"/>
  <c r="E2188" i="3"/>
  <c r="B2188" i="3"/>
  <c r="U2187" i="3"/>
  <c r="K2187" i="3"/>
  <c r="E2187" i="3"/>
  <c r="B2187" i="3"/>
  <c r="U2186" i="3"/>
  <c r="K2186" i="3"/>
  <c r="E2186" i="3"/>
  <c r="B2186" i="3"/>
  <c r="U2185" i="3"/>
  <c r="K2185" i="3"/>
  <c r="E2185" i="3"/>
  <c r="B2185" i="3"/>
  <c r="U2184" i="3"/>
  <c r="K2184" i="3"/>
  <c r="E2184" i="3"/>
  <c r="B2184" i="3"/>
  <c r="U2183" i="3"/>
  <c r="K2183" i="3"/>
  <c r="E2183" i="3"/>
  <c r="B2183" i="3"/>
  <c r="U2182" i="3"/>
  <c r="K2182" i="3"/>
  <c r="E2182" i="3"/>
  <c r="B2182" i="3"/>
  <c r="U2181" i="3"/>
  <c r="K2181" i="3"/>
  <c r="E2181" i="3"/>
  <c r="B2181" i="3"/>
  <c r="U2180" i="3"/>
  <c r="K2180" i="3"/>
  <c r="E2180" i="3"/>
  <c r="B2180" i="3"/>
  <c r="U2179" i="3"/>
  <c r="K2179" i="3"/>
  <c r="E2179" i="3"/>
  <c r="B2179" i="3"/>
  <c r="U2178" i="3"/>
  <c r="K2178" i="3"/>
  <c r="E2178" i="3"/>
  <c r="B2178" i="3"/>
  <c r="U2177" i="3"/>
  <c r="K2177" i="3"/>
  <c r="E2177" i="3"/>
  <c r="B2177" i="3"/>
  <c r="U2176" i="3"/>
  <c r="K2176" i="3"/>
  <c r="E2176" i="3"/>
  <c r="B2176" i="3"/>
  <c r="K2175" i="3"/>
  <c r="E2175" i="3"/>
  <c r="B2175" i="3"/>
  <c r="U2174" i="3"/>
  <c r="K2174" i="3"/>
  <c r="E2174" i="3"/>
  <c r="B2174" i="3"/>
  <c r="U2173" i="3"/>
  <c r="K2173" i="3"/>
  <c r="E2173" i="3"/>
  <c r="B2173" i="3"/>
  <c r="U2172" i="3"/>
  <c r="K2172" i="3"/>
  <c r="E2172" i="3"/>
  <c r="B2172" i="3"/>
  <c r="U2171" i="3"/>
  <c r="K2171" i="3"/>
  <c r="E2171" i="3"/>
  <c r="B2171" i="3"/>
  <c r="U2170" i="3"/>
  <c r="K2170" i="3"/>
  <c r="E2170" i="3"/>
  <c r="B2170" i="3"/>
  <c r="U2169" i="3"/>
  <c r="K2169" i="3"/>
  <c r="E2169" i="3"/>
  <c r="B2169" i="3"/>
  <c r="U2168" i="3"/>
  <c r="K2168" i="3"/>
  <c r="E2168" i="3"/>
  <c r="B2168" i="3"/>
  <c r="U2167" i="3"/>
  <c r="K2167" i="3"/>
  <c r="E2167" i="3"/>
  <c r="B2167" i="3"/>
  <c r="U2166" i="3"/>
  <c r="K2166" i="3"/>
  <c r="E2166" i="3"/>
  <c r="B2166" i="3"/>
  <c r="U2165" i="3"/>
  <c r="K2165" i="3"/>
  <c r="E2165" i="3"/>
  <c r="B2165" i="3"/>
  <c r="U2164" i="3"/>
  <c r="K2164" i="3"/>
  <c r="E2164" i="3"/>
  <c r="B2164" i="3"/>
  <c r="U2163" i="3"/>
  <c r="K2163" i="3"/>
  <c r="E2163" i="3"/>
  <c r="B2163" i="3"/>
  <c r="U2162" i="3"/>
  <c r="K2162" i="3"/>
  <c r="E2162" i="3"/>
  <c r="B2162" i="3"/>
  <c r="U2161" i="3"/>
  <c r="K2161" i="3"/>
  <c r="E2161" i="3"/>
  <c r="B2161" i="3"/>
  <c r="U2160" i="3"/>
  <c r="K2160" i="3"/>
  <c r="E2160" i="3"/>
  <c r="B2160" i="3"/>
  <c r="U2159" i="3"/>
  <c r="K2159" i="3"/>
  <c r="E2159" i="3"/>
  <c r="B2159" i="3"/>
  <c r="U2158" i="3"/>
  <c r="K2158" i="3"/>
  <c r="E2158" i="3"/>
  <c r="B2158" i="3"/>
  <c r="U2157" i="3"/>
  <c r="K2157" i="3"/>
  <c r="E2157" i="3"/>
  <c r="B2157" i="3"/>
  <c r="U2156" i="3"/>
  <c r="K2156" i="3"/>
  <c r="E2156" i="3"/>
  <c r="B2156" i="3"/>
  <c r="K2155" i="3"/>
  <c r="E2155" i="3"/>
  <c r="B2155" i="3"/>
  <c r="U2154" i="3"/>
  <c r="K2154" i="3"/>
  <c r="E2154" i="3"/>
  <c r="B2154" i="3"/>
  <c r="U2153" i="3"/>
  <c r="K2153" i="3"/>
  <c r="E2153" i="3"/>
  <c r="B2153" i="3"/>
  <c r="U2152" i="3"/>
  <c r="K2152" i="3"/>
  <c r="E2152" i="3"/>
  <c r="B2152" i="3"/>
  <c r="U2151" i="3"/>
  <c r="K2151" i="3"/>
  <c r="E2151" i="3"/>
  <c r="B2151" i="3"/>
  <c r="U2150" i="3"/>
  <c r="K2150" i="3"/>
  <c r="E2150" i="3"/>
  <c r="B2150" i="3"/>
  <c r="U2149" i="3"/>
  <c r="K2149" i="3"/>
  <c r="E2149" i="3"/>
  <c r="B2149" i="3"/>
  <c r="U2148" i="3"/>
  <c r="K2148" i="3"/>
  <c r="E2148" i="3"/>
  <c r="B2148" i="3"/>
  <c r="K2147" i="3"/>
  <c r="E2147" i="3"/>
  <c r="B2147" i="3"/>
  <c r="U2146" i="3"/>
  <c r="K2146" i="3"/>
  <c r="E2146" i="3"/>
  <c r="B2146" i="3"/>
  <c r="U2145" i="3"/>
  <c r="K2145" i="3"/>
  <c r="E2145" i="3"/>
  <c r="B2145" i="3"/>
  <c r="U2144" i="3"/>
  <c r="K2144" i="3"/>
  <c r="E2144" i="3"/>
  <c r="B2144" i="3"/>
  <c r="K2143" i="3"/>
  <c r="E2143" i="3"/>
  <c r="B2143" i="3"/>
  <c r="U2142" i="3"/>
  <c r="K2142" i="3"/>
  <c r="E2142" i="3"/>
  <c r="B2142" i="3"/>
  <c r="U2141" i="3"/>
  <c r="K2141" i="3"/>
  <c r="E2141" i="3"/>
  <c r="B2141" i="3"/>
  <c r="U2140" i="3"/>
  <c r="K2140" i="3"/>
  <c r="E2140" i="3"/>
  <c r="B2140" i="3"/>
  <c r="U2139" i="3"/>
  <c r="K2139" i="3"/>
  <c r="E2139" i="3"/>
  <c r="B2139" i="3"/>
  <c r="U2138" i="3"/>
  <c r="K2138" i="3"/>
  <c r="E2138" i="3"/>
  <c r="B2138" i="3"/>
  <c r="U2137" i="3"/>
  <c r="K2137" i="3"/>
  <c r="E2137" i="3"/>
  <c r="B2137" i="3"/>
  <c r="U2136" i="3"/>
  <c r="K2136" i="3"/>
  <c r="E2136" i="3"/>
  <c r="B2136" i="3"/>
  <c r="U2135" i="3"/>
  <c r="K2135" i="3"/>
  <c r="E2135" i="3"/>
  <c r="B2135" i="3"/>
  <c r="U2134" i="3"/>
  <c r="K2134" i="3"/>
  <c r="E2134" i="3"/>
  <c r="B2134" i="3"/>
  <c r="U2133" i="3"/>
  <c r="K2133" i="3"/>
  <c r="E2133" i="3"/>
  <c r="B2133" i="3"/>
  <c r="U2132" i="3"/>
  <c r="K2132" i="3"/>
  <c r="E2132" i="3"/>
  <c r="B2132" i="3"/>
  <c r="U2131" i="3"/>
  <c r="K2131" i="3"/>
  <c r="E2131" i="3"/>
  <c r="B2131" i="3"/>
  <c r="U2130" i="3"/>
  <c r="K2130" i="3"/>
  <c r="E2130" i="3"/>
  <c r="B2130" i="3"/>
  <c r="U2129" i="3"/>
  <c r="K2129" i="3"/>
  <c r="E2129" i="3"/>
  <c r="B2129" i="3"/>
  <c r="U2128" i="3"/>
  <c r="K2128" i="3"/>
  <c r="E2128" i="3"/>
  <c r="B2128" i="3"/>
  <c r="U2127" i="3"/>
  <c r="K2127" i="3"/>
  <c r="E2127" i="3"/>
  <c r="B2127" i="3"/>
  <c r="U2126" i="3"/>
  <c r="K2126" i="3"/>
  <c r="E2126" i="3"/>
  <c r="B2126" i="3"/>
  <c r="U2125" i="3"/>
  <c r="K2125" i="3"/>
  <c r="E2125" i="3"/>
  <c r="B2125" i="3"/>
  <c r="U2124" i="3"/>
  <c r="K2124" i="3"/>
  <c r="E2124" i="3"/>
  <c r="B2124" i="3"/>
  <c r="U2123" i="3"/>
  <c r="K2123" i="3"/>
  <c r="E2123" i="3"/>
  <c r="B2123" i="3"/>
  <c r="U2122" i="3"/>
  <c r="K2122" i="3"/>
  <c r="E2122" i="3"/>
  <c r="B2122" i="3"/>
  <c r="U2121" i="3"/>
  <c r="K2121" i="3"/>
  <c r="E2121" i="3"/>
  <c r="B2121" i="3"/>
  <c r="U2120" i="3"/>
  <c r="K2120" i="3"/>
  <c r="E2120" i="3"/>
  <c r="B2120" i="3"/>
  <c r="U2119" i="3"/>
  <c r="K2119" i="3"/>
  <c r="E2119" i="3"/>
  <c r="B2119" i="3"/>
  <c r="U2118" i="3"/>
  <c r="K2118" i="3"/>
  <c r="E2118" i="3"/>
  <c r="B2118" i="3"/>
  <c r="U2117" i="3"/>
  <c r="K2117" i="3"/>
  <c r="E2117" i="3"/>
  <c r="B2117" i="3"/>
  <c r="U2116" i="3"/>
  <c r="K2116" i="3"/>
  <c r="E2116" i="3"/>
  <c r="B2116" i="3"/>
  <c r="U2115" i="3"/>
  <c r="K2115" i="3"/>
  <c r="E2115" i="3"/>
  <c r="B2115" i="3"/>
  <c r="U2114" i="3"/>
  <c r="K2114" i="3"/>
  <c r="E2114" i="3"/>
  <c r="B2114" i="3"/>
  <c r="U2113" i="3"/>
  <c r="K2113" i="3"/>
  <c r="E2113" i="3"/>
  <c r="B2113" i="3"/>
  <c r="U2112" i="3"/>
  <c r="K2112" i="3"/>
  <c r="E2112" i="3"/>
  <c r="B2112" i="3"/>
  <c r="U2111" i="3"/>
  <c r="K2111" i="3"/>
  <c r="E2111" i="3"/>
  <c r="B2111" i="3"/>
  <c r="U2110" i="3"/>
  <c r="K2110" i="3"/>
  <c r="E2110" i="3"/>
  <c r="B2110" i="3"/>
  <c r="U2109" i="3"/>
  <c r="K2109" i="3"/>
  <c r="E2109" i="3"/>
  <c r="B2109" i="3"/>
  <c r="U2108" i="3"/>
  <c r="K2108" i="3"/>
  <c r="E2108" i="3"/>
  <c r="B2108" i="3"/>
  <c r="U2107" i="3"/>
  <c r="K2107" i="3"/>
  <c r="E2107" i="3"/>
  <c r="B2107" i="3"/>
  <c r="U2106" i="3"/>
  <c r="K2106" i="3"/>
  <c r="E2106" i="3"/>
  <c r="B2106" i="3"/>
  <c r="U2105" i="3"/>
  <c r="K2105" i="3"/>
  <c r="E2105" i="3"/>
  <c r="B2105" i="3"/>
  <c r="U2104" i="3"/>
  <c r="K2104" i="3"/>
  <c r="E2104" i="3"/>
  <c r="B2104" i="3"/>
  <c r="U2103" i="3"/>
  <c r="K2103" i="3"/>
  <c r="E2103" i="3"/>
  <c r="B2103" i="3"/>
  <c r="U2102" i="3"/>
  <c r="K2102" i="3"/>
  <c r="E2102" i="3"/>
  <c r="B2102" i="3"/>
  <c r="U2101" i="3"/>
  <c r="K2101" i="3"/>
  <c r="E2101" i="3"/>
  <c r="B2101" i="3"/>
  <c r="U2100" i="3"/>
  <c r="K2100" i="3"/>
  <c r="E2100" i="3"/>
  <c r="B2100" i="3"/>
  <c r="U2099" i="3"/>
  <c r="K2099" i="3"/>
  <c r="E2099" i="3"/>
  <c r="B2099" i="3"/>
  <c r="U2098" i="3"/>
  <c r="K2098" i="3"/>
  <c r="E2098" i="3"/>
  <c r="B2098" i="3"/>
  <c r="U2097" i="3"/>
  <c r="K2097" i="3"/>
  <c r="E2097" i="3"/>
  <c r="B2097" i="3"/>
  <c r="U2096" i="3"/>
  <c r="K2096" i="3"/>
  <c r="E2096" i="3"/>
  <c r="B2096" i="3"/>
  <c r="U2095" i="3"/>
  <c r="K2095" i="3"/>
  <c r="E2095" i="3"/>
  <c r="B2095" i="3"/>
  <c r="U2094" i="3"/>
  <c r="K2094" i="3"/>
  <c r="E2094" i="3"/>
  <c r="B2094" i="3"/>
  <c r="U2093" i="3"/>
  <c r="K2093" i="3"/>
  <c r="E2093" i="3"/>
  <c r="B2093" i="3"/>
  <c r="U2092" i="3"/>
  <c r="K2092" i="3"/>
  <c r="E2092" i="3"/>
  <c r="B2092" i="3"/>
  <c r="U2091" i="3"/>
  <c r="K2091" i="3"/>
  <c r="E2091" i="3"/>
  <c r="B2091" i="3"/>
  <c r="U2090" i="3"/>
  <c r="K2090" i="3"/>
  <c r="E2090" i="3"/>
  <c r="B2090" i="3"/>
  <c r="U2089" i="3"/>
  <c r="K2089" i="3"/>
  <c r="E2089" i="3"/>
  <c r="B2089" i="3"/>
  <c r="U2088" i="3"/>
  <c r="K2088" i="3"/>
  <c r="E2088" i="3"/>
  <c r="B2088" i="3"/>
  <c r="U2087" i="3"/>
  <c r="K2087" i="3"/>
  <c r="E2087" i="3"/>
  <c r="B2087" i="3"/>
  <c r="U2086" i="3"/>
  <c r="K2086" i="3"/>
  <c r="E2086" i="3"/>
  <c r="B2086" i="3"/>
  <c r="U2085" i="3"/>
  <c r="K2085" i="3"/>
  <c r="E2085" i="3"/>
  <c r="B2085" i="3"/>
  <c r="U2084" i="3"/>
  <c r="K2084" i="3"/>
  <c r="E2084" i="3"/>
  <c r="B2084" i="3"/>
  <c r="U2083" i="3"/>
  <c r="K2083" i="3"/>
  <c r="E2083" i="3"/>
  <c r="B2083" i="3"/>
  <c r="U2082" i="3"/>
  <c r="K2082" i="3"/>
  <c r="E2082" i="3"/>
  <c r="B2082" i="3"/>
  <c r="U2081" i="3"/>
  <c r="K2081" i="3"/>
  <c r="E2081" i="3"/>
  <c r="B2081" i="3"/>
  <c r="U2080" i="3"/>
  <c r="K2080" i="3"/>
  <c r="E2080" i="3"/>
  <c r="B2080" i="3"/>
  <c r="U2079" i="3"/>
  <c r="K2079" i="3"/>
  <c r="E2079" i="3"/>
  <c r="B2079" i="3"/>
  <c r="U2078" i="3"/>
  <c r="K2078" i="3"/>
  <c r="E2078" i="3"/>
  <c r="B2078" i="3"/>
  <c r="U2077" i="3"/>
  <c r="K2077" i="3"/>
  <c r="E2077" i="3"/>
  <c r="B2077" i="3"/>
  <c r="U2076" i="3"/>
  <c r="K2076" i="3"/>
  <c r="E2076" i="3"/>
  <c r="B2076" i="3"/>
  <c r="U2075" i="3"/>
  <c r="K2075" i="3"/>
  <c r="E2075" i="3"/>
  <c r="B2075" i="3"/>
  <c r="U2074" i="3"/>
  <c r="K2074" i="3"/>
  <c r="E2074" i="3"/>
  <c r="B2074" i="3"/>
  <c r="U2073" i="3"/>
  <c r="K2073" i="3"/>
  <c r="E2073" i="3"/>
  <c r="B2073" i="3"/>
  <c r="U2072" i="3"/>
  <c r="K2072" i="3"/>
  <c r="E2072" i="3"/>
  <c r="B2072" i="3"/>
  <c r="U2071" i="3"/>
  <c r="K2071" i="3"/>
  <c r="E2071" i="3"/>
  <c r="B2071" i="3"/>
  <c r="U2070" i="3"/>
  <c r="K2070" i="3"/>
  <c r="E2070" i="3"/>
  <c r="B2070" i="3"/>
  <c r="U2069" i="3"/>
  <c r="K2069" i="3"/>
  <c r="E2069" i="3"/>
  <c r="B2069" i="3"/>
  <c r="U2068" i="3"/>
  <c r="K2068" i="3"/>
  <c r="E2068" i="3"/>
  <c r="B2068" i="3"/>
  <c r="U2067" i="3"/>
  <c r="K2067" i="3"/>
  <c r="E2067" i="3"/>
  <c r="B2067" i="3"/>
  <c r="U2066" i="3"/>
  <c r="K2066" i="3"/>
  <c r="E2066" i="3"/>
  <c r="B2066" i="3"/>
  <c r="U2065" i="3"/>
  <c r="K2065" i="3"/>
  <c r="E2065" i="3"/>
  <c r="B2065" i="3"/>
  <c r="U2064" i="3"/>
  <c r="K2064" i="3"/>
  <c r="E2064" i="3"/>
  <c r="B2064" i="3"/>
  <c r="U2063" i="3"/>
  <c r="K2063" i="3"/>
  <c r="E2063" i="3"/>
  <c r="B2063" i="3"/>
  <c r="U2062" i="3"/>
  <c r="K2062" i="3"/>
  <c r="E2062" i="3"/>
  <c r="B2062" i="3"/>
  <c r="U2061" i="3"/>
  <c r="K2061" i="3"/>
  <c r="E2061" i="3"/>
  <c r="B2061" i="3"/>
  <c r="U2060" i="3"/>
  <c r="K2060" i="3"/>
  <c r="E2060" i="3"/>
  <c r="B2060" i="3"/>
  <c r="U2059" i="3"/>
  <c r="K2059" i="3"/>
  <c r="E2059" i="3"/>
  <c r="B2059" i="3"/>
  <c r="U2058" i="3"/>
  <c r="K2058" i="3"/>
  <c r="E2058" i="3"/>
  <c r="B2058" i="3"/>
  <c r="U2057" i="3"/>
  <c r="K2057" i="3"/>
  <c r="E2057" i="3"/>
  <c r="B2057" i="3"/>
  <c r="U2056" i="3"/>
  <c r="K2056" i="3"/>
  <c r="E2056" i="3"/>
  <c r="B2056" i="3"/>
  <c r="U2055" i="3"/>
  <c r="K2055" i="3"/>
  <c r="E2055" i="3"/>
  <c r="B2055" i="3"/>
  <c r="U2054" i="3"/>
  <c r="K2054" i="3"/>
  <c r="E2054" i="3"/>
  <c r="B2054" i="3"/>
  <c r="U2053" i="3"/>
  <c r="K2053" i="3"/>
  <c r="E2053" i="3"/>
  <c r="B2053" i="3"/>
  <c r="U2052" i="3"/>
  <c r="K2052" i="3"/>
  <c r="E2052" i="3"/>
  <c r="B2052" i="3"/>
  <c r="U2051" i="3"/>
  <c r="K2051" i="3"/>
  <c r="E2051" i="3"/>
  <c r="B2051" i="3"/>
  <c r="U2050" i="3"/>
  <c r="K2050" i="3"/>
  <c r="E2050" i="3"/>
  <c r="B2050" i="3"/>
  <c r="U2049" i="3"/>
  <c r="K2049" i="3"/>
  <c r="E2049" i="3"/>
  <c r="B2049" i="3"/>
  <c r="U2048" i="3"/>
  <c r="K2048" i="3"/>
  <c r="E2048" i="3"/>
  <c r="B2048" i="3"/>
  <c r="U2047" i="3"/>
  <c r="K2047" i="3"/>
  <c r="E2047" i="3"/>
  <c r="B2047" i="3"/>
  <c r="U2046" i="3"/>
  <c r="K2046" i="3"/>
  <c r="E2046" i="3"/>
  <c r="B2046" i="3"/>
  <c r="U2045" i="3"/>
  <c r="K2045" i="3"/>
  <c r="E2045" i="3"/>
  <c r="B2045" i="3"/>
  <c r="U2044" i="3"/>
  <c r="K2044" i="3"/>
  <c r="E2044" i="3"/>
  <c r="B2044" i="3"/>
  <c r="U2043" i="3"/>
  <c r="K2043" i="3"/>
  <c r="E2043" i="3"/>
  <c r="B2043" i="3"/>
  <c r="U2042" i="3"/>
  <c r="K2042" i="3"/>
  <c r="E2042" i="3"/>
  <c r="B2042" i="3"/>
  <c r="U2041" i="3"/>
  <c r="K2041" i="3"/>
  <c r="E2041" i="3"/>
  <c r="B2041" i="3"/>
  <c r="U2040" i="3"/>
  <c r="K2040" i="3"/>
  <c r="E2040" i="3"/>
  <c r="B2040" i="3"/>
  <c r="U2039" i="3"/>
  <c r="K2039" i="3"/>
  <c r="E2039" i="3"/>
  <c r="B2039" i="3"/>
  <c r="U2038" i="3"/>
  <c r="K2038" i="3"/>
  <c r="E2038" i="3"/>
  <c r="B2038" i="3"/>
  <c r="U2037" i="3"/>
  <c r="K2037" i="3"/>
  <c r="E2037" i="3"/>
  <c r="B2037" i="3"/>
  <c r="U2036" i="3"/>
  <c r="K2036" i="3"/>
  <c r="E2036" i="3"/>
  <c r="B2036" i="3"/>
  <c r="U2035" i="3"/>
  <c r="K2035" i="3"/>
  <c r="E2035" i="3"/>
  <c r="B2035" i="3"/>
  <c r="U2034" i="3"/>
  <c r="K2034" i="3"/>
  <c r="E2034" i="3"/>
  <c r="B2034" i="3"/>
  <c r="U2033" i="3"/>
  <c r="K2033" i="3"/>
  <c r="E2033" i="3"/>
  <c r="B2033" i="3"/>
  <c r="U2032" i="3"/>
  <c r="K2032" i="3"/>
  <c r="E2032" i="3"/>
  <c r="B2032" i="3"/>
  <c r="U2031" i="3"/>
  <c r="K2031" i="3"/>
  <c r="E2031" i="3"/>
  <c r="B2031" i="3"/>
  <c r="U2030" i="3"/>
  <c r="K2030" i="3"/>
  <c r="E2030" i="3"/>
  <c r="B2030" i="3"/>
  <c r="U2029" i="3"/>
  <c r="K2029" i="3"/>
  <c r="E2029" i="3"/>
  <c r="B2029" i="3"/>
  <c r="U2028" i="3"/>
  <c r="K2028" i="3"/>
  <c r="E2028" i="3"/>
  <c r="B2028" i="3"/>
  <c r="U2027" i="3"/>
  <c r="K2027" i="3"/>
  <c r="E2027" i="3"/>
  <c r="B2027" i="3"/>
  <c r="U2026" i="3"/>
  <c r="K2026" i="3"/>
  <c r="E2026" i="3"/>
  <c r="B2026" i="3"/>
  <c r="U2025" i="3"/>
  <c r="K2025" i="3"/>
  <c r="E2025" i="3"/>
  <c r="B2025" i="3"/>
  <c r="U2024" i="3"/>
  <c r="K2024" i="3"/>
  <c r="E2024" i="3"/>
  <c r="B2024" i="3"/>
  <c r="U2023" i="3"/>
  <c r="K2023" i="3"/>
  <c r="E2023" i="3"/>
  <c r="B2023" i="3"/>
  <c r="U2022" i="3"/>
  <c r="K2022" i="3"/>
  <c r="E2022" i="3"/>
  <c r="B2022" i="3"/>
  <c r="U2021" i="3"/>
  <c r="K2021" i="3"/>
  <c r="E2021" i="3"/>
  <c r="B2021" i="3"/>
  <c r="U2020" i="3"/>
  <c r="K2020" i="3"/>
  <c r="E2020" i="3"/>
  <c r="B2020" i="3"/>
  <c r="U2019" i="3"/>
  <c r="K2019" i="3"/>
  <c r="E2019" i="3"/>
  <c r="B2019" i="3"/>
  <c r="U2018" i="3"/>
  <c r="K2018" i="3"/>
  <c r="E2018" i="3"/>
  <c r="B2018" i="3"/>
  <c r="U2017" i="3"/>
  <c r="K2017" i="3"/>
  <c r="E2017" i="3"/>
  <c r="B2017" i="3"/>
  <c r="U2016" i="3"/>
  <c r="K2016" i="3"/>
  <c r="E2016" i="3"/>
  <c r="B2016" i="3"/>
  <c r="U2015" i="3"/>
  <c r="K2015" i="3"/>
  <c r="E2015" i="3"/>
  <c r="B2015" i="3"/>
  <c r="U2014" i="3"/>
  <c r="K2014" i="3"/>
  <c r="E2014" i="3"/>
  <c r="B2014" i="3"/>
  <c r="U2013" i="3"/>
  <c r="K2013" i="3"/>
  <c r="E2013" i="3"/>
  <c r="B2013" i="3"/>
  <c r="U2012" i="3"/>
  <c r="K2012" i="3"/>
  <c r="E2012" i="3"/>
  <c r="B2012" i="3"/>
  <c r="U2011" i="3"/>
  <c r="K2011" i="3"/>
  <c r="E2011" i="3"/>
  <c r="B2011" i="3"/>
  <c r="U2010" i="3"/>
  <c r="K2010" i="3"/>
  <c r="E2010" i="3"/>
  <c r="B2010" i="3"/>
  <c r="U2009" i="3"/>
  <c r="K2009" i="3"/>
  <c r="E2009" i="3"/>
  <c r="B2009" i="3"/>
  <c r="U2008" i="3"/>
  <c r="K2008" i="3"/>
  <c r="E2008" i="3"/>
  <c r="B2008" i="3"/>
  <c r="U2007" i="3"/>
  <c r="K2007" i="3"/>
  <c r="E2007" i="3"/>
  <c r="B2007" i="3"/>
  <c r="U2006" i="3"/>
  <c r="K2006" i="3"/>
  <c r="E2006" i="3"/>
  <c r="B2006" i="3"/>
  <c r="U2005" i="3"/>
  <c r="K2005" i="3"/>
  <c r="E2005" i="3"/>
  <c r="B2005" i="3"/>
  <c r="U2004" i="3"/>
  <c r="K2004" i="3"/>
  <c r="E2004" i="3"/>
  <c r="B2004" i="3"/>
  <c r="U2003" i="3"/>
  <c r="K2003" i="3"/>
  <c r="E2003" i="3"/>
  <c r="B2003" i="3"/>
  <c r="U2002" i="3"/>
  <c r="K2002" i="3"/>
  <c r="E2002" i="3"/>
  <c r="B2002" i="3"/>
  <c r="U2001" i="3"/>
  <c r="K2001" i="3"/>
  <c r="E2001" i="3"/>
  <c r="B2001" i="3"/>
  <c r="U2000" i="3"/>
  <c r="K2000" i="3"/>
  <c r="E2000" i="3"/>
  <c r="B2000" i="3"/>
  <c r="U1999" i="3"/>
  <c r="K1999" i="3"/>
  <c r="E1999" i="3"/>
  <c r="B1999" i="3"/>
  <c r="U1998" i="3"/>
  <c r="K1998" i="3"/>
  <c r="E1998" i="3"/>
  <c r="B1998" i="3"/>
  <c r="K1997" i="3"/>
  <c r="E1997" i="3"/>
  <c r="B1997" i="3"/>
  <c r="U1996" i="3"/>
  <c r="K1996" i="3"/>
  <c r="E1996" i="3"/>
  <c r="B1996" i="3"/>
  <c r="U1995" i="3"/>
  <c r="K1995" i="3"/>
  <c r="E1995" i="3"/>
  <c r="B1995" i="3"/>
  <c r="U1994" i="3"/>
  <c r="K1994" i="3"/>
  <c r="E1994" i="3"/>
  <c r="B1994" i="3"/>
  <c r="U1993" i="3"/>
  <c r="K1993" i="3"/>
  <c r="E1993" i="3"/>
  <c r="B1993" i="3"/>
  <c r="U1992" i="3"/>
  <c r="K1992" i="3"/>
  <c r="E1992" i="3"/>
  <c r="B1992" i="3"/>
  <c r="U1991" i="3"/>
  <c r="K1991" i="3"/>
  <c r="E1991" i="3"/>
  <c r="B1991" i="3"/>
  <c r="U1990" i="3"/>
  <c r="K1990" i="3"/>
  <c r="E1990" i="3"/>
  <c r="B1990" i="3"/>
  <c r="U1989" i="3"/>
  <c r="K1989" i="3"/>
  <c r="E1989" i="3"/>
  <c r="B1989" i="3"/>
  <c r="U1988" i="3"/>
  <c r="K1988" i="3"/>
  <c r="E1988" i="3"/>
  <c r="B1988" i="3"/>
  <c r="U1987" i="3"/>
  <c r="K1987" i="3"/>
  <c r="E1987" i="3"/>
  <c r="B1987" i="3"/>
  <c r="U1986" i="3"/>
  <c r="K1986" i="3"/>
  <c r="E1986" i="3"/>
  <c r="B1986" i="3"/>
  <c r="U1985" i="3"/>
  <c r="K1985" i="3"/>
  <c r="E1985" i="3"/>
  <c r="B1985" i="3"/>
  <c r="K1984" i="3"/>
  <c r="E1984" i="3"/>
  <c r="B1984" i="3"/>
  <c r="U1983" i="3"/>
  <c r="K1983" i="3"/>
  <c r="E1983" i="3"/>
  <c r="B1983" i="3"/>
  <c r="U1982" i="3"/>
  <c r="K1982" i="3"/>
  <c r="E1982" i="3"/>
  <c r="B1982" i="3"/>
  <c r="U1981" i="3"/>
  <c r="K1981" i="3"/>
  <c r="E1981" i="3"/>
  <c r="B1981" i="3"/>
  <c r="U1980" i="3"/>
  <c r="K1980" i="3"/>
  <c r="E1980" i="3"/>
  <c r="B1980" i="3"/>
  <c r="U1979" i="3"/>
  <c r="K1979" i="3"/>
  <c r="E1979" i="3"/>
  <c r="B1979" i="3"/>
  <c r="K1978" i="3"/>
  <c r="E1978" i="3"/>
  <c r="B1978" i="3"/>
  <c r="U1977" i="3"/>
  <c r="K1977" i="3"/>
  <c r="E1977" i="3"/>
  <c r="B1977" i="3"/>
  <c r="U1976" i="3"/>
  <c r="K1976" i="3"/>
  <c r="E1976" i="3"/>
  <c r="B1976" i="3"/>
  <c r="U1975" i="3"/>
  <c r="K1975" i="3"/>
  <c r="E1975" i="3"/>
  <c r="B1975" i="3"/>
  <c r="U1974" i="3"/>
  <c r="K1974" i="3"/>
  <c r="E1974" i="3"/>
  <c r="B1974" i="3"/>
  <c r="U1973" i="3"/>
  <c r="K1973" i="3"/>
  <c r="E1973" i="3"/>
  <c r="B1973" i="3"/>
  <c r="U1972" i="3"/>
  <c r="K1972" i="3"/>
  <c r="E1972" i="3"/>
  <c r="B1972" i="3"/>
  <c r="U1971" i="3"/>
  <c r="K1971" i="3"/>
  <c r="E1971" i="3"/>
  <c r="B1971" i="3"/>
  <c r="U1970" i="3"/>
  <c r="K1970" i="3"/>
  <c r="E1970" i="3"/>
  <c r="B1970" i="3"/>
  <c r="U1969" i="3"/>
  <c r="K1969" i="3"/>
  <c r="E1969" i="3"/>
  <c r="B1969" i="3"/>
  <c r="U1968" i="3"/>
  <c r="K1968" i="3"/>
  <c r="E1968" i="3"/>
  <c r="B1968" i="3"/>
  <c r="U1967" i="3"/>
  <c r="K1967" i="3"/>
  <c r="E1967" i="3"/>
  <c r="B1967" i="3"/>
  <c r="U1966" i="3"/>
  <c r="K1966" i="3"/>
  <c r="E1966" i="3"/>
  <c r="B1966" i="3"/>
  <c r="U1965" i="3"/>
  <c r="K1965" i="3"/>
  <c r="E1965" i="3"/>
  <c r="B1965" i="3"/>
  <c r="U1964" i="3"/>
  <c r="K1964" i="3"/>
  <c r="E1964" i="3"/>
  <c r="B1964" i="3"/>
  <c r="U1963" i="3"/>
  <c r="K1963" i="3"/>
  <c r="E1963" i="3"/>
  <c r="B1963" i="3"/>
  <c r="U1962" i="3"/>
  <c r="K1962" i="3"/>
  <c r="E1962" i="3"/>
  <c r="B1962" i="3"/>
  <c r="U1961" i="3"/>
  <c r="K1961" i="3"/>
  <c r="E1961" i="3"/>
  <c r="B1961" i="3"/>
  <c r="U1960" i="3"/>
  <c r="K1960" i="3"/>
  <c r="E1960" i="3"/>
  <c r="B1960" i="3"/>
  <c r="U1959" i="3"/>
  <c r="K1959" i="3"/>
  <c r="E1959" i="3"/>
  <c r="B1959" i="3"/>
  <c r="U1958" i="3"/>
  <c r="K1958" i="3"/>
  <c r="E1958" i="3"/>
  <c r="B1958" i="3"/>
  <c r="U1957" i="3"/>
  <c r="K1957" i="3"/>
  <c r="E1957" i="3"/>
  <c r="B1957" i="3"/>
  <c r="U1956" i="3"/>
  <c r="K1956" i="3"/>
  <c r="E1956" i="3"/>
  <c r="B1956" i="3"/>
  <c r="U1955" i="3"/>
  <c r="K1955" i="3"/>
  <c r="E1955" i="3"/>
  <c r="B1955" i="3"/>
  <c r="U1954" i="3"/>
  <c r="K1954" i="3"/>
  <c r="E1954" i="3"/>
  <c r="B1954" i="3"/>
  <c r="U1953" i="3"/>
  <c r="K1953" i="3"/>
  <c r="E1953" i="3"/>
  <c r="B1953" i="3"/>
  <c r="U1952" i="3"/>
  <c r="K1952" i="3"/>
  <c r="E1952" i="3"/>
  <c r="B1952" i="3"/>
  <c r="U1951" i="3"/>
  <c r="K1951" i="3"/>
  <c r="E1951" i="3"/>
  <c r="B1951" i="3"/>
  <c r="U1950" i="3"/>
  <c r="K1950" i="3"/>
  <c r="E1950" i="3"/>
  <c r="B1950" i="3"/>
  <c r="U1949" i="3"/>
  <c r="K1949" i="3"/>
  <c r="E1949" i="3"/>
  <c r="B1949" i="3"/>
  <c r="U1948" i="3"/>
  <c r="K1948" i="3"/>
  <c r="E1948" i="3"/>
  <c r="B1948" i="3"/>
  <c r="U1947" i="3"/>
  <c r="K1947" i="3"/>
  <c r="E1947" i="3"/>
  <c r="B1947" i="3"/>
  <c r="U1946" i="3"/>
  <c r="K1946" i="3"/>
  <c r="E1946" i="3"/>
  <c r="B1946" i="3"/>
  <c r="U1945" i="3"/>
  <c r="K1945" i="3"/>
  <c r="E1945" i="3"/>
  <c r="B1945" i="3"/>
  <c r="U1944" i="3"/>
  <c r="K1944" i="3"/>
  <c r="E1944" i="3"/>
  <c r="B1944" i="3"/>
  <c r="U1943" i="3"/>
  <c r="K1943" i="3"/>
  <c r="E1943" i="3"/>
  <c r="B1943" i="3"/>
  <c r="U1942" i="3"/>
  <c r="K1942" i="3"/>
  <c r="E1942" i="3"/>
  <c r="B1942" i="3"/>
  <c r="U1941" i="3"/>
  <c r="K1941" i="3"/>
  <c r="E1941" i="3"/>
  <c r="B1941" i="3"/>
  <c r="U1940" i="3"/>
  <c r="K1940" i="3"/>
  <c r="E1940" i="3"/>
  <c r="B1940" i="3"/>
  <c r="U1939" i="3"/>
  <c r="K1939" i="3"/>
  <c r="E1939" i="3"/>
  <c r="B1939" i="3"/>
  <c r="U1938" i="3"/>
  <c r="K1938" i="3"/>
  <c r="E1938" i="3"/>
  <c r="B1938" i="3"/>
  <c r="U1937" i="3"/>
  <c r="K1937" i="3"/>
  <c r="E1937" i="3"/>
  <c r="B1937" i="3"/>
  <c r="U1936" i="3"/>
  <c r="K1936" i="3"/>
  <c r="E1936" i="3"/>
  <c r="B1936" i="3"/>
  <c r="U1935" i="3"/>
  <c r="K1935" i="3"/>
  <c r="E1935" i="3"/>
  <c r="B1935" i="3"/>
  <c r="U1934" i="3"/>
  <c r="K1934" i="3"/>
  <c r="E1934" i="3"/>
  <c r="B1934" i="3"/>
  <c r="U1933" i="3"/>
  <c r="K1933" i="3"/>
  <c r="E1933" i="3"/>
  <c r="B1933" i="3"/>
  <c r="U1932" i="3"/>
  <c r="K1932" i="3"/>
  <c r="E1932" i="3"/>
  <c r="B1932" i="3"/>
  <c r="U1931" i="3"/>
  <c r="K1931" i="3"/>
  <c r="E1931" i="3"/>
  <c r="B1931" i="3"/>
  <c r="U1930" i="3"/>
  <c r="K1930" i="3"/>
  <c r="E1930" i="3"/>
  <c r="B1930" i="3"/>
  <c r="U1929" i="3"/>
  <c r="K1929" i="3"/>
  <c r="E1929" i="3"/>
  <c r="B1929" i="3"/>
  <c r="U1928" i="3"/>
  <c r="K1928" i="3"/>
  <c r="E1928" i="3"/>
  <c r="B1928" i="3"/>
  <c r="U1927" i="3"/>
  <c r="K1927" i="3"/>
  <c r="E1927" i="3"/>
  <c r="B1927" i="3"/>
  <c r="U1926" i="3"/>
  <c r="K1926" i="3"/>
  <c r="E1926" i="3"/>
  <c r="B1926" i="3"/>
  <c r="U1925" i="3"/>
  <c r="K1925" i="3"/>
  <c r="E1925" i="3"/>
  <c r="B1925" i="3"/>
  <c r="U1924" i="3"/>
  <c r="K1924" i="3"/>
  <c r="E1924" i="3"/>
  <c r="B1924" i="3"/>
  <c r="U1923" i="3"/>
  <c r="K1923" i="3"/>
  <c r="E1923" i="3"/>
  <c r="B1923" i="3"/>
  <c r="U1922" i="3"/>
  <c r="K1922" i="3"/>
  <c r="E1922" i="3"/>
  <c r="B1922" i="3"/>
  <c r="U1921" i="3"/>
  <c r="K1921" i="3"/>
  <c r="E1921" i="3"/>
  <c r="B1921" i="3"/>
  <c r="U1920" i="3"/>
  <c r="K1920" i="3"/>
  <c r="E1920" i="3"/>
  <c r="B1920" i="3"/>
  <c r="U1919" i="3"/>
  <c r="K1919" i="3"/>
  <c r="E1919" i="3"/>
  <c r="B1919" i="3"/>
  <c r="U1918" i="3"/>
  <c r="K1918" i="3"/>
  <c r="E1918" i="3"/>
  <c r="B1918" i="3"/>
  <c r="U1917" i="3"/>
  <c r="K1917" i="3"/>
  <c r="E1917" i="3"/>
  <c r="B1917" i="3"/>
  <c r="U1916" i="3"/>
  <c r="K1916" i="3"/>
  <c r="E1916" i="3"/>
  <c r="B1916" i="3"/>
  <c r="U1915" i="3"/>
  <c r="K1915" i="3"/>
  <c r="E1915" i="3"/>
  <c r="B1915" i="3"/>
  <c r="U1914" i="3"/>
  <c r="K1914" i="3"/>
  <c r="E1914" i="3"/>
  <c r="B1914" i="3"/>
  <c r="U1913" i="3"/>
  <c r="K1913" i="3"/>
  <c r="E1913" i="3"/>
  <c r="B1913" i="3"/>
  <c r="U1912" i="3"/>
  <c r="K1912" i="3"/>
  <c r="E1912" i="3"/>
  <c r="B1912" i="3"/>
  <c r="U1911" i="3"/>
  <c r="K1911" i="3"/>
  <c r="E1911" i="3"/>
  <c r="B1911" i="3"/>
  <c r="U1910" i="3"/>
  <c r="K1910" i="3"/>
  <c r="E1910" i="3"/>
  <c r="B1910" i="3"/>
  <c r="U1909" i="3"/>
  <c r="K1909" i="3"/>
  <c r="E1909" i="3"/>
  <c r="B1909" i="3"/>
  <c r="U1908" i="3"/>
  <c r="K1908" i="3"/>
  <c r="E1908" i="3"/>
  <c r="B1908" i="3"/>
  <c r="U1907" i="3"/>
  <c r="K1907" i="3"/>
  <c r="E1907" i="3"/>
  <c r="B1907" i="3"/>
  <c r="U1906" i="3"/>
  <c r="K1906" i="3"/>
  <c r="E1906" i="3"/>
  <c r="B1906" i="3"/>
  <c r="U1905" i="3"/>
  <c r="K1905" i="3"/>
  <c r="E1905" i="3"/>
  <c r="B1905" i="3"/>
  <c r="U1904" i="3"/>
  <c r="K1904" i="3"/>
  <c r="E1904" i="3"/>
  <c r="B1904" i="3"/>
  <c r="U1903" i="3"/>
  <c r="K1903" i="3"/>
  <c r="E1903" i="3"/>
  <c r="B1903" i="3"/>
  <c r="U1902" i="3"/>
  <c r="K1902" i="3"/>
  <c r="E1902" i="3"/>
  <c r="B1902" i="3"/>
  <c r="U1901" i="3"/>
  <c r="K1901" i="3"/>
  <c r="E1901" i="3"/>
  <c r="B1901" i="3"/>
  <c r="U1900" i="3"/>
  <c r="K1900" i="3"/>
  <c r="E1900" i="3"/>
  <c r="B1900" i="3"/>
  <c r="U1899" i="3"/>
  <c r="K1899" i="3"/>
  <c r="E1899" i="3"/>
  <c r="B1899" i="3"/>
  <c r="U1898" i="3"/>
  <c r="K1898" i="3"/>
  <c r="E1898" i="3"/>
  <c r="B1898" i="3"/>
  <c r="U1897" i="3"/>
  <c r="K1897" i="3"/>
  <c r="E1897" i="3"/>
  <c r="B1897" i="3"/>
  <c r="U1896" i="3"/>
  <c r="K1896" i="3"/>
  <c r="E1896" i="3"/>
  <c r="B1896" i="3"/>
  <c r="U1895" i="3"/>
  <c r="K1895" i="3"/>
  <c r="E1895" i="3"/>
  <c r="B1895" i="3"/>
  <c r="U1894" i="3"/>
  <c r="K1894" i="3"/>
  <c r="E1894" i="3"/>
  <c r="B1894" i="3"/>
  <c r="U1893" i="3"/>
  <c r="K1893" i="3"/>
  <c r="E1893" i="3"/>
  <c r="B1893" i="3"/>
  <c r="U1892" i="3"/>
  <c r="K1892" i="3"/>
  <c r="E1892" i="3"/>
  <c r="B1892" i="3"/>
  <c r="U1891" i="3"/>
  <c r="K1891" i="3"/>
  <c r="E1891" i="3"/>
  <c r="B1891" i="3"/>
  <c r="U1890" i="3"/>
  <c r="K1890" i="3"/>
  <c r="E1890" i="3"/>
  <c r="B1890" i="3"/>
  <c r="U1889" i="3"/>
  <c r="K1889" i="3"/>
  <c r="E1889" i="3"/>
  <c r="B1889" i="3"/>
  <c r="U1888" i="3"/>
  <c r="K1888" i="3"/>
  <c r="E1888" i="3"/>
  <c r="B1888" i="3"/>
  <c r="U1887" i="3"/>
  <c r="K1887" i="3"/>
  <c r="E1887" i="3"/>
  <c r="B1887" i="3"/>
  <c r="U1886" i="3"/>
  <c r="K1886" i="3"/>
  <c r="E1886" i="3"/>
  <c r="B1886" i="3"/>
  <c r="U1885" i="3"/>
  <c r="K1885" i="3"/>
  <c r="E1885" i="3"/>
  <c r="B1885" i="3"/>
  <c r="U1884" i="3"/>
  <c r="K1884" i="3"/>
  <c r="E1884" i="3"/>
  <c r="B1884" i="3"/>
  <c r="U1883" i="3"/>
  <c r="K1883" i="3"/>
  <c r="E1883" i="3"/>
  <c r="B1883" i="3"/>
  <c r="U1882" i="3"/>
  <c r="K1882" i="3"/>
  <c r="E1882" i="3"/>
  <c r="B1882" i="3"/>
  <c r="U1881" i="3"/>
  <c r="K1881" i="3"/>
  <c r="E1881" i="3"/>
  <c r="B1881" i="3"/>
  <c r="U1880" i="3"/>
  <c r="K1880" i="3"/>
  <c r="E1880" i="3"/>
  <c r="B1880" i="3"/>
  <c r="U1879" i="3"/>
  <c r="K1879" i="3"/>
  <c r="E1879" i="3"/>
  <c r="B1879" i="3"/>
  <c r="U1878" i="3"/>
  <c r="K1878" i="3"/>
  <c r="E1878" i="3"/>
  <c r="B1878" i="3"/>
  <c r="U1877" i="3"/>
  <c r="K1877" i="3"/>
  <c r="E1877" i="3"/>
  <c r="B1877" i="3"/>
  <c r="U1876" i="3"/>
  <c r="K1876" i="3"/>
  <c r="E1876" i="3"/>
  <c r="B1876" i="3"/>
  <c r="U1875" i="3"/>
  <c r="K1875" i="3"/>
  <c r="E1875" i="3"/>
  <c r="B1875" i="3"/>
  <c r="U1874" i="3"/>
  <c r="K1874" i="3"/>
  <c r="E1874" i="3"/>
  <c r="B1874" i="3"/>
  <c r="U1873" i="3"/>
  <c r="K1873" i="3"/>
  <c r="E1873" i="3"/>
  <c r="B1873" i="3"/>
  <c r="U1872" i="3"/>
  <c r="K1872" i="3"/>
  <c r="E1872" i="3"/>
  <c r="B1872" i="3"/>
  <c r="U1871" i="3"/>
  <c r="K1871" i="3"/>
  <c r="E1871" i="3"/>
  <c r="B1871" i="3"/>
  <c r="U1870" i="3"/>
  <c r="K1870" i="3"/>
  <c r="E1870" i="3"/>
  <c r="B1870" i="3"/>
  <c r="U1869" i="3"/>
  <c r="K1869" i="3"/>
  <c r="E1869" i="3"/>
  <c r="B1869" i="3"/>
  <c r="U1868" i="3"/>
  <c r="K1868" i="3"/>
  <c r="E1868" i="3"/>
  <c r="B1868" i="3"/>
  <c r="U1867" i="3"/>
  <c r="K1867" i="3"/>
  <c r="E1867" i="3"/>
  <c r="B1867" i="3"/>
  <c r="U1866" i="3"/>
  <c r="K1866" i="3"/>
  <c r="E1866" i="3"/>
  <c r="B1866" i="3"/>
  <c r="U1865" i="3"/>
  <c r="K1865" i="3"/>
  <c r="E1865" i="3"/>
  <c r="B1865" i="3"/>
  <c r="U1864" i="3"/>
  <c r="K1864" i="3"/>
  <c r="E1864" i="3"/>
  <c r="B1864" i="3"/>
  <c r="U1863" i="3"/>
  <c r="K1863" i="3"/>
  <c r="E1863" i="3"/>
  <c r="B1863" i="3"/>
  <c r="U1862" i="3"/>
  <c r="K1862" i="3"/>
  <c r="E1862" i="3"/>
  <c r="B1862" i="3"/>
  <c r="U1861" i="3"/>
  <c r="K1861" i="3"/>
  <c r="E1861" i="3"/>
  <c r="B1861" i="3"/>
  <c r="U1860" i="3"/>
  <c r="K1860" i="3"/>
  <c r="E1860" i="3"/>
  <c r="B1860" i="3"/>
  <c r="U1859" i="3"/>
  <c r="K1859" i="3"/>
  <c r="E1859" i="3"/>
  <c r="B1859" i="3"/>
  <c r="U1858" i="3"/>
  <c r="K1858" i="3"/>
  <c r="E1858" i="3"/>
  <c r="B1858" i="3"/>
  <c r="U1857" i="3"/>
  <c r="K1857" i="3"/>
  <c r="E1857" i="3"/>
  <c r="B1857" i="3"/>
  <c r="U1856" i="3"/>
  <c r="K1856" i="3"/>
  <c r="E1856" i="3"/>
  <c r="B1856" i="3"/>
  <c r="U1855" i="3"/>
  <c r="K1855" i="3"/>
  <c r="E1855" i="3"/>
  <c r="B1855" i="3"/>
  <c r="U1854" i="3"/>
  <c r="K1854" i="3"/>
  <c r="E1854" i="3"/>
  <c r="B1854" i="3"/>
  <c r="U1853" i="3"/>
  <c r="K1853" i="3"/>
  <c r="E1853" i="3"/>
  <c r="B1853" i="3"/>
  <c r="U1852" i="3"/>
  <c r="K1852" i="3"/>
  <c r="E1852" i="3"/>
  <c r="B1852" i="3"/>
  <c r="U1851" i="3"/>
  <c r="K1851" i="3"/>
  <c r="E1851" i="3"/>
  <c r="B1851" i="3"/>
  <c r="U1850" i="3"/>
  <c r="K1850" i="3"/>
  <c r="E1850" i="3"/>
  <c r="B1850" i="3"/>
  <c r="U1849" i="3"/>
  <c r="K1849" i="3"/>
  <c r="E1849" i="3"/>
  <c r="B1849" i="3"/>
  <c r="U1848" i="3"/>
  <c r="K1848" i="3"/>
  <c r="E1848" i="3"/>
  <c r="B1848" i="3"/>
  <c r="U1847" i="3"/>
  <c r="K1847" i="3"/>
  <c r="E1847" i="3"/>
  <c r="B1847" i="3"/>
  <c r="U1846" i="3"/>
  <c r="K1846" i="3"/>
  <c r="E1846" i="3"/>
  <c r="B1846" i="3"/>
  <c r="U1845" i="3"/>
  <c r="K1845" i="3"/>
  <c r="E1845" i="3"/>
  <c r="B1845" i="3"/>
  <c r="U1844" i="3"/>
  <c r="K1844" i="3"/>
  <c r="E1844" i="3"/>
  <c r="B1844" i="3"/>
  <c r="U1843" i="3"/>
  <c r="K1843" i="3"/>
  <c r="E1843" i="3"/>
  <c r="B1843" i="3"/>
  <c r="U1842" i="3"/>
  <c r="K1842" i="3"/>
  <c r="E1842" i="3"/>
  <c r="B1842" i="3"/>
  <c r="U1841" i="3"/>
  <c r="K1841" i="3"/>
  <c r="E1841" i="3"/>
  <c r="B1841" i="3"/>
  <c r="U1840" i="3"/>
  <c r="K1840" i="3"/>
  <c r="E1840" i="3"/>
  <c r="B1840" i="3"/>
  <c r="U1839" i="3"/>
  <c r="K1839" i="3"/>
  <c r="E1839" i="3"/>
  <c r="B1839" i="3"/>
  <c r="U1838" i="3"/>
  <c r="K1838" i="3"/>
  <c r="E1838" i="3"/>
  <c r="B1838" i="3"/>
  <c r="U1837" i="3"/>
  <c r="K1837" i="3"/>
  <c r="E1837" i="3"/>
  <c r="B1837" i="3"/>
  <c r="U1836" i="3"/>
  <c r="K1836" i="3"/>
  <c r="E1836" i="3"/>
  <c r="B1836" i="3"/>
  <c r="U1835" i="3"/>
  <c r="K1835" i="3"/>
  <c r="E1835" i="3"/>
  <c r="B1835" i="3"/>
  <c r="U1834" i="3"/>
  <c r="K1834" i="3"/>
  <c r="E1834" i="3"/>
  <c r="B1834" i="3"/>
  <c r="U1833" i="3"/>
  <c r="K1833" i="3"/>
  <c r="E1833" i="3"/>
  <c r="B1833" i="3"/>
  <c r="U1832" i="3"/>
  <c r="K1832" i="3"/>
  <c r="E1832" i="3"/>
  <c r="B1832" i="3"/>
  <c r="U1831" i="3"/>
  <c r="K1831" i="3"/>
  <c r="E1831" i="3"/>
  <c r="B1831" i="3"/>
  <c r="U1830" i="3"/>
  <c r="K1830" i="3"/>
  <c r="E1830" i="3"/>
  <c r="B1830" i="3"/>
  <c r="U1829" i="3"/>
  <c r="K1829" i="3"/>
  <c r="E1829" i="3"/>
  <c r="B1829" i="3"/>
  <c r="U1828" i="3"/>
  <c r="K1828" i="3"/>
  <c r="E1828" i="3"/>
  <c r="B1828" i="3"/>
  <c r="U1827" i="3"/>
  <c r="K1827" i="3"/>
  <c r="E1827" i="3"/>
  <c r="B1827" i="3"/>
  <c r="U1826" i="3"/>
  <c r="K1826" i="3"/>
  <c r="E1826" i="3"/>
  <c r="B1826" i="3"/>
  <c r="U1825" i="3"/>
  <c r="K1825" i="3"/>
  <c r="E1825" i="3"/>
  <c r="B1825" i="3"/>
  <c r="U1824" i="3"/>
  <c r="K1824" i="3"/>
  <c r="E1824" i="3"/>
  <c r="B1824" i="3"/>
  <c r="U1823" i="3"/>
  <c r="K1823" i="3"/>
  <c r="E1823" i="3"/>
  <c r="B1823" i="3"/>
  <c r="U1822" i="3"/>
  <c r="K1822" i="3"/>
  <c r="E1822" i="3"/>
  <c r="B1822" i="3"/>
  <c r="U1821" i="3"/>
  <c r="K1821" i="3"/>
  <c r="E1821" i="3"/>
  <c r="B1821" i="3"/>
  <c r="U1820" i="3"/>
  <c r="K1820" i="3"/>
  <c r="E1820" i="3"/>
  <c r="B1820" i="3"/>
  <c r="U1819" i="3"/>
  <c r="K1819" i="3"/>
  <c r="E1819" i="3"/>
  <c r="B1819" i="3"/>
  <c r="U1818" i="3"/>
  <c r="K1818" i="3"/>
  <c r="E1818" i="3"/>
  <c r="B1818" i="3"/>
  <c r="U1817" i="3"/>
  <c r="K1817" i="3"/>
  <c r="E1817" i="3"/>
  <c r="B1817" i="3"/>
  <c r="U1816" i="3"/>
  <c r="K1816" i="3"/>
  <c r="E1816" i="3"/>
  <c r="B1816" i="3"/>
  <c r="U1815" i="3"/>
  <c r="K1815" i="3"/>
  <c r="E1815" i="3"/>
  <c r="B1815" i="3"/>
  <c r="U1814" i="3"/>
  <c r="K1814" i="3"/>
  <c r="E1814" i="3"/>
  <c r="B1814" i="3"/>
  <c r="U1813" i="3"/>
  <c r="K1813" i="3"/>
  <c r="E1813" i="3"/>
  <c r="B1813" i="3"/>
  <c r="U1812" i="3"/>
  <c r="K1812" i="3"/>
  <c r="E1812" i="3"/>
  <c r="B1812" i="3"/>
  <c r="U1811" i="3"/>
  <c r="K1811" i="3"/>
  <c r="E1811" i="3"/>
  <c r="B1811" i="3"/>
  <c r="U1810" i="3"/>
  <c r="K1810" i="3"/>
  <c r="E1810" i="3"/>
  <c r="B1810" i="3"/>
  <c r="U1809" i="3"/>
  <c r="K1809" i="3"/>
  <c r="E1809" i="3"/>
  <c r="B1809" i="3"/>
  <c r="U1808" i="3"/>
  <c r="K1808" i="3"/>
  <c r="E1808" i="3"/>
  <c r="B1808" i="3"/>
  <c r="U1807" i="3"/>
  <c r="K1807" i="3"/>
  <c r="E1807" i="3"/>
  <c r="B1807" i="3"/>
  <c r="U1806" i="3"/>
  <c r="K1806" i="3"/>
  <c r="E1806" i="3"/>
  <c r="B1806" i="3"/>
  <c r="U1805" i="3"/>
  <c r="K1805" i="3"/>
  <c r="E1805" i="3"/>
  <c r="B1805" i="3"/>
  <c r="U1804" i="3"/>
  <c r="K1804" i="3"/>
  <c r="E1804" i="3"/>
  <c r="B1804" i="3"/>
  <c r="U1803" i="3"/>
  <c r="K1803" i="3"/>
  <c r="E1803" i="3"/>
  <c r="B1803" i="3"/>
  <c r="U1802" i="3"/>
  <c r="K1802" i="3"/>
  <c r="E1802" i="3"/>
  <c r="B1802" i="3"/>
  <c r="U1801" i="3"/>
  <c r="K1801" i="3"/>
  <c r="E1801" i="3"/>
  <c r="B1801" i="3"/>
  <c r="U1800" i="3"/>
  <c r="K1800" i="3"/>
  <c r="E1800" i="3"/>
  <c r="B1800" i="3"/>
  <c r="U1799" i="3"/>
  <c r="K1799" i="3"/>
  <c r="E1799" i="3"/>
  <c r="B1799" i="3"/>
  <c r="U1798" i="3"/>
  <c r="K1798" i="3"/>
  <c r="E1798" i="3"/>
  <c r="B1798" i="3"/>
  <c r="U1797" i="3"/>
  <c r="K1797" i="3"/>
  <c r="E1797" i="3"/>
  <c r="B1797" i="3"/>
  <c r="U1796" i="3"/>
  <c r="K1796" i="3"/>
  <c r="E1796" i="3"/>
  <c r="B1796" i="3"/>
  <c r="U1795" i="3"/>
  <c r="K1795" i="3"/>
  <c r="E1795" i="3"/>
  <c r="B1795" i="3"/>
  <c r="U1794" i="3"/>
  <c r="K1794" i="3"/>
  <c r="E1794" i="3"/>
  <c r="B1794" i="3"/>
  <c r="U1793" i="3"/>
  <c r="K1793" i="3"/>
  <c r="E1793" i="3"/>
  <c r="B1793" i="3"/>
  <c r="U1792" i="3"/>
  <c r="K1792" i="3"/>
  <c r="E1792" i="3"/>
  <c r="B1792" i="3"/>
  <c r="U1791" i="3"/>
  <c r="K1791" i="3"/>
  <c r="E1791" i="3"/>
  <c r="B1791" i="3"/>
  <c r="U1790" i="3"/>
  <c r="K1790" i="3"/>
  <c r="E1790" i="3"/>
  <c r="B1790" i="3"/>
  <c r="U1789" i="3"/>
  <c r="K1789" i="3"/>
  <c r="E1789" i="3"/>
  <c r="B1789" i="3"/>
  <c r="U1788" i="3"/>
  <c r="K1788" i="3"/>
  <c r="E1788" i="3"/>
  <c r="B1788" i="3"/>
  <c r="U1787" i="3"/>
  <c r="K1787" i="3"/>
  <c r="E1787" i="3"/>
  <c r="B1787" i="3"/>
  <c r="U1786" i="3"/>
  <c r="K1786" i="3"/>
  <c r="E1786" i="3"/>
  <c r="B1786" i="3"/>
  <c r="U1785" i="3"/>
  <c r="K1785" i="3"/>
  <c r="E1785" i="3"/>
  <c r="B1785" i="3"/>
  <c r="U1784" i="3"/>
  <c r="K1784" i="3"/>
  <c r="E1784" i="3"/>
  <c r="B1784" i="3"/>
  <c r="U1783" i="3"/>
  <c r="K1783" i="3"/>
  <c r="E1783" i="3"/>
  <c r="B1783" i="3"/>
  <c r="U1782" i="3"/>
  <c r="K1782" i="3"/>
  <c r="E1782" i="3"/>
  <c r="B1782" i="3"/>
  <c r="U1781" i="3"/>
  <c r="K1781" i="3"/>
  <c r="E1781" i="3"/>
  <c r="B1781" i="3"/>
  <c r="U1780" i="3"/>
  <c r="K1780" i="3"/>
  <c r="E1780" i="3"/>
  <c r="B1780" i="3"/>
  <c r="U1779" i="3"/>
  <c r="K1779" i="3"/>
  <c r="E1779" i="3"/>
  <c r="B1779" i="3"/>
  <c r="U1778" i="3"/>
  <c r="K1778" i="3"/>
  <c r="E1778" i="3"/>
  <c r="B1778" i="3"/>
  <c r="U1777" i="3"/>
  <c r="K1777" i="3"/>
  <c r="E1777" i="3"/>
  <c r="B1777" i="3"/>
  <c r="U1776" i="3"/>
  <c r="K1776" i="3"/>
  <c r="E1776" i="3"/>
  <c r="B1776" i="3"/>
  <c r="U1775" i="3"/>
  <c r="K1775" i="3"/>
  <c r="E1775" i="3"/>
  <c r="B1775" i="3"/>
  <c r="U1774" i="3"/>
  <c r="K1774" i="3"/>
  <c r="E1774" i="3"/>
  <c r="B1774" i="3"/>
  <c r="U1773" i="3"/>
  <c r="K1773" i="3"/>
  <c r="E1773" i="3"/>
  <c r="B1773" i="3"/>
  <c r="U1772" i="3"/>
  <c r="K1772" i="3"/>
  <c r="E1772" i="3"/>
  <c r="B1772" i="3"/>
  <c r="U1771" i="3"/>
  <c r="K1771" i="3"/>
  <c r="E1771" i="3"/>
  <c r="B1771" i="3"/>
  <c r="U1770" i="3"/>
  <c r="K1770" i="3"/>
  <c r="E1770" i="3"/>
  <c r="B1770" i="3"/>
  <c r="U1769" i="3"/>
  <c r="K1769" i="3"/>
  <c r="E1769" i="3"/>
  <c r="B1769" i="3"/>
  <c r="U1768" i="3"/>
  <c r="K1768" i="3"/>
  <c r="E1768" i="3"/>
  <c r="B1768" i="3"/>
  <c r="U1767" i="3"/>
  <c r="K1767" i="3"/>
  <c r="E1767" i="3"/>
  <c r="B1767" i="3"/>
  <c r="U1766" i="3"/>
  <c r="K1766" i="3"/>
  <c r="E1766" i="3"/>
  <c r="B1766" i="3"/>
  <c r="U1765" i="3"/>
  <c r="K1765" i="3"/>
  <c r="E1765" i="3"/>
  <c r="B1765" i="3"/>
  <c r="U1764" i="3"/>
  <c r="K1764" i="3"/>
  <c r="E1764" i="3"/>
  <c r="B1764" i="3"/>
  <c r="U1763" i="3"/>
  <c r="K1763" i="3"/>
  <c r="E1763" i="3"/>
  <c r="B1763" i="3"/>
  <c r="U1762" i="3"/>
  <c r="K1762" i="3"/>
  <c r="E1762" i="3"/>
  <c r="B1762" i="3"/>
  <c r="U1761" i="3"/>
  <c r="K1761" i="3"/>
  <c r="E1761" i="3"/>
  <c r="B1761" i="3"/>
  <c r="U1760" i="3"/>
  <c r="K1760" i="3"/>
  <c r="E1760" i="3"/>
  <c r="B1760" i="3"/>
  <c r="U1759" i="3"/>
  <c r="K1759" i="3"/>
  <c r="E1759" i="3"/>
  <c r="B1759" i="3"/>
  <c r="U1758" i="3"/>
  <c r="K1758" i="3"/>
  <c r="E1758" i="3"/>
  <c r="B1758" i="3"/>
  <c r="U1757" i="3"/>
  <c r="K1757" i="3"/>
  <c r="E1757" i="3"/>
  <c r="B1757" i="3"/>
  <c r="U1756" i="3"/>
  <c r="K1756" i="3"/>
  <c r="E1756" i="3"/>
  <c r="B1756" i="3"/>
  <c r="U1755" i="3"/>
  <c r="K1755" i="3"/>
  <c r="E1755" i="3"/>
  <c r="B1755" i="3"/>
  <c r="U1754" i="3"/>
  <c r="K1754" i="3"/>
  <c r="E1754" i="3"/>
  <c r="B1754" i="3"/>
  <c r="U1753" i="3"/>
  <c r="K1753" i="3"/>
  <c r="E1753" i="3"/>
  <c r="B1753" i="3"/>
  <c r="U1752" i="3"/>
  <c r="K1752" i="3"/>
  <c r="E1752" i="3"/>
  <c r="B1752" i="3"/>
  <c r="U1751" i="3"/>
  <c r="K1751" i="3"/>
  <c r="E1751" i="3"/>
  <c r="B1751" i="3"/>
  <c r="U1750" i="3"/>
  <c r="K1750" i="3"/>
  <c r="E1750" i="3"/>
  <c r="B1750" i="3"/>
  <c r="U1749" i="3"/>
  <c r="K1749" i="3"/>
  <c r="E1749" i="3"/>
  <c r="B1749" i="3"/>
  <c r="U1748" i="3"/>
  <c r="K1748" i="3"/>
  <c r="E1748" i="3"/>
  <c r="B1748" i="3"/>
  <c r="U1747" i="3"/>
  <c r="K1747" i="3"/>
  <c r="E1747" i="3"/>
  <c r="B1747" i="3"/>
  <c r="U1746" i="3"/>
  <c r="K1746" i="3"/>
  <c r="E1746" i="3"/>
  <c r="B1746" i="3"/>
  <c r="U1745" i="3"/>
  <c r="K1745" i="3"/>
  <c r="E1745" i="3"/>
  <c r="B1745" i="3"/>
  <c r="U1744" i="3"/>
  <c r="K1744" i="3"/>
  <c r="E1744" i="3"/>
  <c r="B1744" i="3"/>
  <c r="U1743" i="3"/>
  <c r="K1743" i="3"/>
  <c r="E1743" i="3"/>
  <c r="B1743" i="3"/>
  <c r="U1742" i="3"/>
  <c r="K1742" i="3"/>
  <c r="E1742" i="3"/>
  <c r="B1742" i="3"/>
  <c r="U1741" i="3"/>
  <c r="K1741" i="3"/>
  <c r="E1741" i="3"/>
  <c r="B1741" i="3"/>
  <c r="U1740" i="3"/>
  <c r="K1740" i="3"/>
  <c r="E1740" i="3"/>
  <c r="B1740" i="3"/>
  <c r="U1739" i="3"/>
  <c r="K1739" i="3"/>
  <c r="E1739" i="3"/>
  <c r="B1739" i="3"/>
  <c r="U1738" i="3"/>
  <c r="K1738" i="3"/>
  <c r="E1738" i="3"/>
  <c r="B1738" i="3"/>
  <c r="U1737" i="3"/>
  <c r="K1737" i="3"/>
  <c r="E1737" i="3"/>
  <c r="B1737" i="3"/>
  <c r="U1736" i="3"/>
  <c r="K1736" i="3"/>
  <c r="E1736" i="3"/>
  <c r="B1736" i="3"/>
  <c r="U1735" i="3"/>
  <c r="K1735" i="3"/>
  <c r="E1735" i="3"/>
  <c r="B1735" i="3"/>
  <c r="U1734" i="3"/>
  <c r="K1734" i="3"/>
  <c r="E1734" i="3"/>
  <c r="B1734" i="3"/>
  <c r="U1733" i="3"/>
  <c r="K1733" i="3"/>
  <c r="E1733" i="3"/>
  <c r="B1733" i="3"/>
  <c r="U1732" i="3"/>
  <c r="K1732" i="3"/>
  <c r="E1732" i="3"/>
  <c r="B1732" i="3"/>
  <c r="U1731" i="3"/>
  <c r="K1731" i="3"/>
  <c r="E1731" i="3"/>
  <c r="B1731" i="3"/>
  <c r="U1730" i="3"/>
  <c r="K1730" i="3"/>
  <c r="E1730" i="3"/>
  <c r="B1730" i="3"/>
  <c r="U1729" i="3"/>
  <c r="K1729" i="3"/>
  <c r="E1729" i="3"/>
  <c r="B1729" i="3"/>
  <c r="U1728" i="3"/>
  <c r="K1728" i="3"/>
  <c r="E1728" i="3"/>
  <c r="B1728" i="3"/>
  <c r="U1727" i="3"/>
  <c r="K1727" i="3"/>
  <c r="E1727" i="3"/>
  <c r="B1727" i="3"/>
  <c r="U1726" i="3"/>
  <c r="K1726" i="3"/>
  <c r="E1726" i="3"/>
  <c r="B1726" i="3"/>
  <c r="U1725" i="3"/>
  <c r="K1725" i="3"/>
  <c r="E1725" i="3"/>
  <c r="B1725" i="3"/>
  <c r="U1724" i="3"/>
  <c r="K1724" i="3"/>
  <c r="E1724" i="3"/>
  <c r="B1724" i="3"/>
  <c r="U1723" i="3"/>
  <c r="K1723" i="3"/>
  <c r="E1723" i="3"/>
  <c r="B1723" i="3"/>
  <c r="U1722" i="3"/>
  <c r="K1722" i="3"/>
  <c r="E1722" i="3"/>
  <c r="B1722" i="3"/>
  <c r="U1721" i="3"/>
  <c r="K1721" i="3"/>
  <c r="E1721" i="3"/>
  <c r="B1721" i="3"/>
  <c r="U1720" i="3"/>
  <c r="K1720" i="3"/>
  <c r="E1720" i="3"/>
  <c r="B1720" i="3"/>
  <c r="U1719" i="3"/>
  <c r="K1719" i="3"/>
  <c r="E1719" i="3"/>
  <c r="B1719" i="3"/>
  <c r="U1718" i="3"/>
  <c r="K1718" i="3"/>
  <c r="E1718" i="3"/>
  <c r="B1718" i="3"/>
  <c r="U1717" i="3"/>
  <c r="K1717" i="3"/>
  <c r="E1717" i="3"/>
  <c r="B1717" i="3"/>
  <c r="U1716" i="3"/>
  <c r="K1716" i="3"/>
  <c r="E1716" i="3"/>
  <c r="B1716" i="3"/>
  <c r="U1715" i="3"/>
  <c r="K1715" i="3"/>
  <c r="E1715" i="3"/>
  <c r="B1715" i="3"/>
  <c r="U1714" i="3"/>
  <c r="K1714" i="3"/>
  <c r="E1714" i="3"/>
  <c r="B1714" i="3"/>
  <c r="U1713" i="3"/>
  <c r="K1713" i="3"/>
  <c r="E1713" i="3"/>
  <c r="B1713" i="3"/>
  <c r="U1712" i="3"/>
  <c r="K1712" i="3"/>
  <c r="E1712" i="3"/>
  <c r="B1712" i="3"/>
  <c r="U1711" i="3"/>
  <c r="K1711" i="3"/>
  <c r="E1711" i="3"/>
  <c r="B1711" i="3"/>
  <c r="U1710" i="3"/>
  <c r="K1710" i="3"/>
  <c r="E1710" i="3"/>
  <c r="B1710" i="3"/>
  <c r="U1709" i="3"/>
  <c r="K1709" i="3"/>
  <c r="E1709" i="3"/>
  <c r="B1709" i="3"/>
  <c r="U1708" i="3"/>
  <c r="K1708" i="3"/>
  <c r="E1708" i="3"/>
  <c r="B1708" i="3"/>
  <c r="U1707" i="3"/>
  <c r="K1707" i="3"/>
  <c r="E1707" i="3"/>
  <c r="B1707" i="3"/>
  <c r="U1706" i="3"/>
  <c r="K1706" i="3"/>
  <c r="E1706" i="3"/>
  <c r="B1706" i="3"/>
  <c r="U1705" i="3"/>
  <c r="K1705" i="3"/>
  <c r="E1705" i="3"/>
  <c r="B1705" i="3"/>
  <c r="U1704" i="3"/>
  <c r="K1704" i="3"/>
  <c r="E1704" i="3"/>
  <c r="B1704" i="3"/>
  <c r="U1703" i="3"/>
  <c r="K1703" i="3"/>
  <c r="E1703" i="3"/>
  <c r="B1703" i="3"/>
  <c r="U1702" i="3"/>
  <c r="K1702" i="3"/>
  <c r="E1702" i="3"/>
  <c r="B1702" i="3"/>
  <c r="U1701" i="3"/>
  <c r="K1701" i="3"/>
  <c r="E1701" i="3"/>
  <c r="B1701" i="3"/>
  <c r="U1700" i="3"/>
  <c r="K1700" i="3"/>
  <c r="E1700" i="3"/>
  <c r="B1700" i="3"/>
  <c r="U1699" i="3"/>
  <c r="K1699" i="3"/>
  <c r="E1699" i="3"/>
  <c r="B1699" i="3"/>
  <c r="U1698" i="3"/>
  <c r="K1698" i="3"/>
  <c r="E1698" i="3"/>
  <c r="B1698" i="3"/>
  <c r="U1697" i="3"/>
  <c r="K1697" i="3"/>
  <c r="E1697" i="3"/>
  <c r="B1697" i="3"/>
  <c r="U1696" i="3"/>
  <c r="K1696" i="3"/>
  <c r="E1696" i="3"/>
  <c r="B1696" i="3"/>
  <c r="U1695" i="3"/>
  <c r="K1695" i="3"/>
  <c r="E1695" i="3"/>
  <c r="B1695" i="3"/>
  <c r="U1694" i="3"/>
  <c r="K1694" i="3"/>
  <c r="E1694" i="3"/>
  <c r="B1694" i="3"/>
  <c r="U1693" i="3"/>
  <c r="K1693" i="3"/>
  <c r="E1693" i="3"/>
  <c r="B1693" i="3"/>
  <c r="U1692" i="3"/>
  <c r="K1692" i="3"/>
  <c r="E1692" i="3"/>
  <c r="B1692" i="3"/>
  <c r="U1691" i="3"/>
  <c r="K1691" i="3"/>
  <c r="E1691" i="3"/>
  <c r="B1691" i="3"/>
  <c r="U1690" i="3"/>
  <c r="K1690" i="3"/>
  <c r="E1690" i="3"/>
  <c r="B1690" i="3"/>
  <c r="U1689" i="3"/>
  <c r="K1689" i="3"/>
  <c r="E1689" i="3"/>
  <c r="B1689" i="3"/>
  <c r="U1688" i="3"/>
  <c r="K1688" i="3"/>
  <c r="E1688" i="3"/>
  <c r="B1688" i="3"/>
  <c r="K1687" i="3"/>
  <c r="E1687" i="3"/>
  <c r="B1687" i="3"/>
  <c r="U1686" i="3"/>
  <c r="K1686" i="3"/>
  <c r="E1686" i="3"/>
  <c r="B1686" i="3"/>
  <c r="U1685" i="3"/>
  <c r="K1685" i="3"/>
  <c r="E1685" i="3"/>
  <c r="B1685" i="3"/>
  <c r="U1684" i="3"/>
  <c r="K1684" i="3"/>
  <c r="E1684" i="3"/>
  <c r="B1684" i="3"/>
  <c r="U1683" i="3"/>
  <c r="K1683" i="3"/>
  <c r="E1683" i="3"/>
  <c r="B1683" i="3"/>
  <c r="U1682" i="3"/>
  <c r="K1682" i="3"/>
  <c r="E1682" i="3"/>
  <c r="B1682" i="3"/>
  <c r="U1681" i="3"/>
  <c r="K1681" i="3"/>
  <c r="E1681" i="3"/>
  <c r="B1681" i="3"/>
  <c r="U1680" i="3"/>
  <c r="K1680" i="3"/>
  <c r="E1680" i="3"/>
  <c r="B1680" i="3"/>
  <c r="U1679" i="3"/>
  <c r="K1679" i="3"/>
  <c r="E1679" i="3"/>
  <c r="B1679" i="3"/>
  <c r="U1678" i="3"/>
  <c r="K1678" i="3"/>
  <c r="E1678" i="3"/>
  <c r="B1678" i="3"/>
  <c r="U1677" i="3"/>
  <c r="K1677" i="3"/>
  <c r="E1677" i="3"/>
  <c r="B1677" i="3"/>
  <c r="U1676" i="3"/>
  <c r="K1676" i="3"/>
  <c r="E1676" i="3"/>
  <c r="B1676" i="3"/>
  <c r="U1675" i="3"/>
  <c r="K1675" i="3"/>
  <c r="E1675" i="3"/>
  <c r="B1675" i="3"/>
  <c r="U1674" i="3"/>
  <c r="K1674" i="3"/>
  <c r="E1674" i="3"/>
  <c r="B1674" i="3"/>
  <c r="U1673" i="3"/>
  <c r="K1673" i="3"/>
  <c r="E1673" i="3"/>
  <c r="B1673" i="3"/>
  <c r="U1672" i="3"/>
  <c r="K1672" i="3"/>
  <c r="E1672" i="3"/>
  <c r="B1672" i="3"/>
  <c r="U1671" i="3"/>
  <c r="K1671" i="3"/>
  <c r="E1671" i="3"/>
  <c r="B1671" i="3"/>
  <c r="U1670" i="3"/>
  <c r="K1670" i="3"/>
  <c r="E1670" i="3"/>
  <c r="B1670" i="3"/>
  <c r="U1669" i="3"/>
  <c r="K1669" i="3"/>
  <c r="E1669" i="3"/>
  <c r="B1669" i="3"/>
  <c r="U1668" i="3"/>
  <c r="K1668" i="3"/>
  <c r="E1668" i="3"/>
  <c r="B1668" i="3"/>
  <c r="U1667" i="3"/>
  <c r="K1667" i="3"/>
  <c r="E1667" i="3"/>
  <c r="B1667" i="3"/>
  <c r="U1666" i="3"/>
  <c r="K1666" i="3"/>
  <c r="E1666" i="3"/>
  <c r="B1666" i="3"/>
  <c r="U1665" i="3"/>
  <c r="K1665" i="3"/>
  <c r="E1665" i="3"/>
  <c r="B1665" i="3"/>
  <c r="U1664" i="3"/>
  <c r="K1664" i="3"/>
  <c r="E1664" i="3"/>
  <c r="B1664" i="3"/>
  <c r="U1663" i="3"/>
  <c r="K1663" i="3"/>
  <c r="E1663" i="3"/>
  <c r="B1663" i="3"/>
  <c r="U1662" i="3"/>
  <c r="K1662" i="3"/>
  <c r="E1662" i="3"/>
  <c r="B1662" i="3"/>
  <c r="U1661" i="3"/>
  <c r="K1661" i="3"/>
  <c r="E1661" i="3"/>
  <c r="B1661" i="3"/>
  <c r="U1660" i="3"/>
  <c r="K1660" i="3"/>
  <c r="E1660" i="3"/>
  <c r="B1660" i="3"/>
  <c r="U1659" i="3"/>
  <c r="K1659" i="3"/>
  <c r="E1659" i="3"/>
  <c r="B1659" i="3"/>
  <c r="U1658" i="3"/>
  <c r="K1658" i="3"/>
  <c r="E1658" i="3"/>
  <c r="B1658" i="3"/>
  <c r="U1657" i="3"/>
  <c r="K1657" i="3"/>
  <c r="E1657" i="3"/>
  <c r="B1657" i="3"/>
  <c r="U1656" i="3"/>
  <c r="K1656" i="3"/>
  <c r="E1656" i="3"/>
  <c r="B1656" i="3"/>
  <c r="U1655" i="3"/>
  <c r="K1655" i="3"/>
  <c r="E1655" i="3"/>
  <c r="B1655" i="3"/>
  <c r="U1654" i="3"/>
  <c r="K1654" i="3"/>
  <c r="E1654" i="3"/>
  <c r="B1654" i="3"/>
  <c r="U1653" i="3"/>
  <c r="K1653" i="3"/>
  <c r="E1653" i="3"/>
  <c r="B1653" i="3"/>
  <c r="U1652" i="3"/>
  <c r="K1652" i="3"/>
  <c r="E1652" i="3"/>
  <c r="B1652" i="3"/>
  <c r="U1651" i="3"/>
  <c r="K1651" i="3"/>
  <c r="E1651" i="3"/>
  <c r="B1651" i="3"/>
  <c r="U1650" i="3"/>
  <c r="K1650" i="3"/>
  <c r="E1650" i="3"/>
  <c r="B1650" i="3"/>
  <c r="U1649" i="3"/>
  <c r="K1649" i="3"/>
  <c r="E1649" i="3"/>
  <c r="B1649" i="3"/>
  <c r="U1648" i="3"/>
  <c r="K1648" i="3"/>
  <c r="E1648" i="3"/>
  <c r="B1648" i="3"/>
  <c r="U1647" i="3"/>
  <c r="K1647" i="3"/>
  <c r="E1647" i="3"/>
  <c r="B1647" i="3"/>
  <c r="U1646" i="3"/>
  <c r="K1646" i="3"/>
  <c r="E1646" i="3"/>
  <c r="B1646" i="3"/>
  <c r="U1645" i="3"/>
  <c r="K1645" i="3"/>
  <c r="E1645" i="3"/>
  <c r="B1645" i="3"/>
  <c r="U1644" i="3"/>
  <c r="K1644" i="3"/>
  <c r="E1644" i="3"/>
  <c r="B1644" i="3"/>
  <c r="U1643" i="3"/>
  <c r="K1643" i="3"/>
  <c r="E1643" i="3"/>
  <c r="B1643" i="3"/>
  <c r="U1642" i="3"/>
  <c r="K1642" i="3"/>
  <c r="E1642" i="3"/>
  <c r="B1642" i="3"/>
  <c r="U1641" i="3"/>
  <c r="K1641" i="3"/>
  <c r="E1641" i="3"/>
  <c r="B1641" i="3"/>
  <c r="U1640" i="3"/>
  <c r="K1640" i="3"/>
  <c r="E1640" i="3"/>
  <c r="B1640" i="3"/>
  <c r="U1639" i="3"/>
  <c r="K1639" i="3"/>
  <c r="E1639" i="3"/>
  <c r="B1639" i="3"/>
  <c r="U1638" i="3"/>
  <c r="K1638" i="3"/>
  <c r="E1638" i="3"/>
  <c r="B1638" i="3"/>
  <c r="U1637" i="3"/>
  <c r="K1637" i="3"/>
  <c r="E1637" i="3"/>
  <c r="B1637" i="3"/>
  <c r="U1636" i="3"/>
  <c r="K1636" i="3"/>
  <c r="E1636" i="3"/>
  <c r="B1636" i="3"/>
  <c r="U1635" i="3"/>
  <c r="K1635" i="3"/>
  <c r="E1635" i="3"/>
  <c r="B1635" i="3"/>
  <c r="U1634" i="3"/>
  <c r="K1634" i="3"/>
  <c r="E1634" i="3"/>
  <c r="B1634" i="3"/>
  <c r="U1633" i="3"/>
  <c r="K1633" i="3"/>
  <c r="E1633" i="3"/>
  <c r="B1633" i="3"/>
  <c r="U1632" i="3"/>
  <c r="K1632" i="3"/>
  <c r="E1632" i="3"/>
  <c r="B1632" i="3"/>
  <c r="U1631" i="3"/>
  <c r="K1631" i="3"/>
  <c r="E1631" i="3"/>
  <c r="B1631" i="3"/>
  <c r="U1630" i="3"/>
  <c r="K1630" i="3"/>
  <c r="E1630" i="3"/>
  <c r="B1630" i="3"/>
  <c r="U1629" i="3"/>
  <c r="K1629" i="3"/>
  <c r="E1629" i="3"/>
  <c r="B1629" i="3"/>
  <c r="U1628" i="3"/>
  <c r="K1628" i="3"/>
  <c r="E1628" i="3"/>
  <c r="B1628" i="3"/>
  <c r="U1627" i="3"/>
  <c r="K1627" i="3"/>
  <c r="E1627" i="3"/>
  <c r="B1627" i="3"/>
  <c r="U1626" i="3"/>
  <c r="K1626" i="3"/>
  <c r="E1626" i="3"/>
  <c r="B1626" i="3"/>
  <c r="U1625" i="3"/>
  <c r="K1625" i="3"/>
  <c r="E1625" i="3"/>
  <c r="B1625" i="3"/>
  <c r="U1624" i="3"/>
  <c r="K1624" i="3"/>
  <c r="E1624" i="3"/>
  <c r="B1624" i="3"/>
  <c r="U1623" i="3"/>
  <c r="K1623" i="3"/>
  <c r="E1623" i="3"/>
  <c r="B1623" i="3"/>
  <c r="U1622" i="3"/>
  <c r="K1622" i="3"/>
  <c r="E1622" i="3"/>
  <c r="B1622" i="3"/>
  <c r="U1621" i="3"/>
  <c r="K1621" i="3"/>
  <c r="E1621" i="3"/>
  <c r="B1621" i="3"/>
  <c r="U1620" i="3"/>
  <c r="K1620" i="3"/>
  <c r="E1620" i="3"/>
  <c r="B1620" i="3"/>
  <c r="U1619" i="3"/>
  <c r="K1619" i="3"/>
  <c r="E1619" i="3"/>
  <c r="B1619" i="3"/>
  <c r="U1618" i="3"/>
  <c r="K1618" i="3"/>
  <c r="E1618" i="3"/>
  <c r="B1618" i="3"/>
  <c r="U1617" i="3"/>
  <c r="K1617" i="3"/>
  <c r="E1617" i="3"/>
  <c r="B1617" i="3"/>
  <c r="U1616" i="3"/>
  <c r="K1616" i="3"/>
  <c r="E1616" i="3"/>
  <c r="B1616" i="3"/>
  <c r="U1615" i="3"/>
  <c r="K1615" i="3"/>
  <c r="E1615" i="3"/>
  <c r="B1615" i="3"/>
  <c r="U1614" i="3"/>
  <c r="K1614" i="3"/>
  <c r="E1614" i="3"/>
  <c r="B1614" i="3"/>
  <c r="U1613" i="3"/>
  <c r="K1613" i="3"/>
  <c r="E1613" i="3"/>
  <c r="B1613" i="3"/>
  <c r="U1612" i="3"/>
  <c r="K1612" i="3"/>
  <c r="E1612" i="3"/>
  <c r="B1612" i="3"/>
  <c r="U1611" i="3"/>
  <c r="K1611" i="3"/>
  <c r="E1611" i="3"/>
  <c r="B1611" i="3"/>
  <c r="U1610" i="3"/>
  <c r="K1610" i="3"/>
  <c r="E1610" i="3"/>
  <c r="B1610" i="3"/>
  <c r="U1609" i="3"/>
  <c r="K1609" i="3"/>
  <c r="E1609" i="3"/>
  <c r="B1609" i="3"/>
  <c r="U1608" i="3"/>
  <c r="K1608" i="3"/>
  <c r="E1608" i="3"/>
  <c r="B1608" i="3"/>
  <c r="U1607" i="3"/>
  <c r="K1607" i="3"/>
  <c r="E1607" i="3"/>
  <c r="B1607" i="3"/>
  <c r="U1606" i="3"/>
  <c r="K1606" i="3"/>
  <c r="E1606" i="3"/>
  <c r="B1606" i="3"/>
  <c r="U1605" i="3"/>
  <c r="K1605" i="3"/>
  <c r="E1605" i="3"/>
  <c r="B1605" i="3"/>
  <c r="U1604" i="3"/>
  <c r="K1604" i="3"/>
  <c r="E1604" i="3"/>
  <c r="B1604" i="3"/>
  <c r="U1603" i="3"/>
  <c r="K1603" i="3"/>
  <c r="E1603" i="3"/>
  <c r="B1603" i="3"/>
  <c r="U1602" i="3"/>
  <c r="K1602" i="3"/>
  <c r="E1602" i="3"/>
  <c r="B1602" i="3"/>
  <c r="U1601" i="3"/>
  <c r="K1601" i="3"/>
  <c r="E1601" i="3"/>
  <c r="B1601" i="3"/>
  <c r="U1600" i="3"/>
  <c r="K1600" i="3"/>
  <c r="E1600" i="3"/>
  <c r="B1600" i="3"/>
  <c r="U1599" i="3"/>
  <c r="K1599" i="3"/>
  <c r="E1599" i="3"/>
  <c r="B1599" i="3"/>
  <c r="U1598" i="3"/>
  <c r="K1598" i="3"/>
  <c r="E1598" i="3"/>
  <c r="B1598" i="3"/>
  <c r="U1597" i="3"/>
  <c r="K1597" i="3"/>
  <c r="E1597" i="3"/>
  <c r="B1597" i="3"/>
  <c r="U1596" i="3"/>
  <c r="K1596" i="3"/>
  <c r="E1596" i="3"/>
  <c r="B1596" i="3"/>
  <c r="U1595" i="3"/>
  <c r="K1595" i="3"/>
  <c r="E1595" i="3"/>
  <c r="B1595" i="3"/>
  <c r="U1594" i="3"/>
  <c r="K1594" i="3"/>
  <c r="E1594" i="3"/>
  <c r="B1594" i="3"/>
  <c r="U1593" i="3"/>
  <c r="K1593" i="3"/>
  <c r="E1593" i="3"/>
  <c r="B1593" i="3"/>
  <c r="U1592" i="3"/>
  <c r="K1592" i="3"/>
  <c r="E1592" i="3"/>
  <c r="B1592" i="3"/>
  <c r="U1591" i="3"/>
  <c r="K1591" i="3"/>
  <c r="E1591" i="3"/>
  <c r="B1591" i="3"/>
  <c r="U1590" i="3"/>
  <c r="K1590" i="3"/>
  <c r="E1590" i="3"/>
  <c r="B1590" i="3"/>
  <c r="U1589" i="3"/>
  <c r="K1589" i="3"/>
  <c r="E1589" i="3"/>
  <c r="B1589" i="3"/>
  <c r="U1588" i="3"/>
  <c r="K1588" i="3"/>
  <c r="E1588" i="3"/>
  <c r="B1588" i="3"/>
  <c r="U1587" i="3"/>
  <c r="K1587" i="3"/>
  <c r="E1587" i="3"/>
  <c r="B1587" i="3"/>
  <c r="U1586" i="3"/>
  <c r="K1586" i="3"/>
  <c r="E1586" i="3"/>
  <c r="B1586" i="3"/>
  <c r="U1585" i="3"/>
  <c r="K1585" i="3"/>
  <c r="E1585" i="3"/>
  <c r="B1585" i="3"/>
  <c r="U1584" i="3"/>
  <c r="K1584" i="3"/>
  <c r="E1584" i="3"/>
  <c r="B1584" i="3"/>
  <c r="U1583" i="3"/>
  <c r="K1583" i="3"/>
  <c r="E1583" i="3"/>
  <c r="B1583" i="3"/>
  <c r="U1582" i="3"/>
  <c r="K1582" i="3"/>
  <c r="E1582" i="3"/>
  <c r="B1582" i="3"/>
  <c r="U1581" i="3"/>
  <c r="K1581" i="3"/>
  <c r="E1581" i="3"/>
  <c r="B1581" i="3"/>
  <c r="U1580" i="3"/>
  <c r="K1580" i="3"/>
  <c r="E1580" i="3"/>
  <c r="B1580" i="3"/>
  <c r="U1579" i="3"/>
  <c r="K1579" i="3"/>
  <c r="E1579" i="3"/>
  <c r="B1579" i="3"/>
  <c r="U1578" i="3"/>
  <c r="K1578" i="3"/>
  <c r="E1578" i="3"/>
  <c r="B1578" i="3"/>
  <c r="U1577" i="3"/>
  <c r="K1577" i="3"/>
  <c r="E1577" i="3"/>
  <c r="B1577" i="3"/>
  <c r="U1576" i="3"/>
  <c r="K1576" i="3"/>
  <c r="E1576" i="3"/>
  <c r="B1576" i="3"/>
  <c r="U1575" i="3"/>
  <c r="K1575" i="3"/>
  <c r="E1575" i="3"/>
  <c r="B1575" i="3"/>
  <c r="U1574" i="3"/>
  <c r="K1574" i="3"/>
  <c r="E1574" i="3"/>
  <c r="B1574" i="3"/>
  <c r="U1573" i="3"/>
  <c r="K1573" i="3"/>
  <c r="E1573" i="3"/>
  <c r="B1573" i="3"/>
  <c r="U1572" i="3"/>
  <c r="K1572" i="3"/>
  <c r="E1572" i="3"/>
  <c r="B1572" i="3"/>
  <c r="U1571" i="3"/>
  <c r="K1571" i="3"/>
  <c r="E1571" i="3"/>
  <c r="B1571" i="3"/>
  <c r="U1570" i="3"/>
  <c r="K1570" i="3"/>
  <c r="E1570" i="3"/>
  <c r="B1570" i="3"/>
  <c r="U1569" i="3"/>
  <c r="K1569" i="3"/>
  <c r="E1569" i="3"/>
  <c r="B1569" i="3"/>
  <c r="U1568" i="3"/>
  <c r="K1568" i="3"/>
  <c r="E1568" i="3"/>
  <c r="B1568" i="3"/>
  <c r="U1567" i="3"/>
  <c r="K1567" i="3"/>
  <c r="E1567" i="3"/>
  <c r="B1567" i="3"/>
  <c r="U1566" i="3"/>
  <c r="K1566" i="3"/>
  <c r="E1566" i="3"/>
  <c r="B1566" i="3"/>
  <c r="U1565" i="3"/>
  <c r="K1565" i="3"/>
  <c r="E1565" i="3"/>
  <c r="B1565" i="3"/>
  <c r="U1564" i="3"/>
  <c r="K1564" i="3"/>
  <c r="E1564" i="3"/>
  <c r="B1564" i="3"/>
  <c r="U1563" i="3"/>
  <c r="K1563" i="3"/>
  <c r="E1563" i="3"/>
  <c r="B1563" i="3"/>
  <c r="U1562" i="3"/>
  <c r="K1562" i="3"/>
  <c r="E1562" i="3"/>
  <c r="B1562" i="3"/>
  <c r="U1561" i="3"/>
  <c r="K1561" i="3"/>
  <c r="E1561" i="3"/>
  <c r="B1561" i="3"/>
  <c r="U1560" i="3"/>
  <c r="K1560" i="3"/>
  <c r="E1560" i="3"/>
  <c r="B1560" i="3"/>
  <c r="U1559" i="3"/>
  <c r="K1559" i="3"/>
  <c r="E1559" i="3"/>
  <c r="B1559" i="3"/>
  <c r="U1558" i="3"/>
  <c r="K1558" i="3"/>
  <c r="E1558" i="3"/>
  <c r="B1558" i="3"/>
  <c r="U1557" i="3"/>
  <c r="K1557" i="3"/>
  <c r="E1557" i="3"/>
  <c r="B1557" i="3"/>
  <c r="U1556" i="3"/>
  <c r="K1556" i="3"/>
  <c r="E1556" i="3"/>
  <c r="B1556" i="3"/>
  <c r="U1555" i="3"/>
  <c r="K1555" i="3"/>
  <c r="E1555" i="3"/>
  <c r="B1555" i="3"/>
  <c r="U1554" i="3"/>
  <c r="K1554" i="3"/>
  <c r="E1554" i="3"/>
  <c r="B1554" i="3"/>
  <c r="U1553" i="3"/>
  <c r="K1553" i="3"/>
  <c r="E1553" i="3"/>
  <c r="B1553" i="3"/>
  <c r="U1552" i="3"/>
  <c r="K1552" i="3"/>
  <c r="E1552" i="3"/>
  <c r="B1552" i="3"/>
  <c r="U1551" i="3"/>
  <c r="K1551" i="3"/>
  <c r="E1551" i="3"/>
  <c r="B1551" i="3"/>
  <c r="U1550" i="3"/>
  <c r="K1550" i="3"/>
  <c r="E1550" i="3"/>
  <c r="B1550" i="3"/>
  <c r="U1549" i="3"/>
  <c r="K1549" i="3"/>
  <c r="E1549" i="3"/>
  <c r="B1549" i="3"/>
  <c r="U1548" i="3"/>
  <c r="K1548" i="3"/>
  <c r="E1548" i="3"/>
  <c r="B1548" i="3"/>
  <c r="U1547" i="3"/>
  <c r="K1547" i="3"/>
  <c r="E1547" i="3"/>
  <c r="B1547" i="3"/>
  <c r="U1546" i="3"/>
  <c r="K1546" i="3"/>
  <c r="E1546" i="3"/>
  <c r="B1546" i="3"/>
  <c r="U1545" i="3"/>
  <c r="K1545" i="3"/>
  <c r="E1545" i="3"/>
  <c r="B1545" i="3"/>
  <c r="U1544" i="3"/>
  <c r="K1544" i="3"/>
  <c r="E1544" i="3"/>
  <c r="B1544" i="3"/>
  <c r="U1543" i="3"/>
  <c r="K1543" i="3"/>
  <c r="E1543" i="3"/>
  <c r="B1543" i="3"/>
  <c r="U1542" i="3"/>
  <c r="K1542" i="3"/>
  <c r="E1542" i="3"/>
  <c r="B1542" i="3"/>
  <c r="U1541" i="3"/>
  <c r="K1541" i="3"/>
  <c r="E1541" i="3"/>
  <c r="B1541" i="3"/>
  <c r="U1540" i="3"/>
  <c r="K1540" i="3"/>
  <c r="E1540" i="3"/>
  <c r="B1540" i="3"/>
  <c r="U1539" i="3"/>
  <c r="K1539" i="3"/>
  <c r="E1539" i="3"/>
  <c r="B1539" i="3"/>
  <c r="U1538" i="3"/>
  <c r="K1538" i="3"/>
  <c r="E1538" i="3"/>
  <c r="B1538" i="3"/>
  <c r="U1537" i="3"/>
  <c r="K1537" i="3"/>
  <c r="E1537" i="3"/>
  <c r="B1537" i="3"/>
  <c r="U1536" i="3"/>
  <c r="K1536" i="3"/>
  <c r="E1536" i="3"/>
  <c r="B1536" i="3"/>
  <c r="U1535" i="3"/>
  <c r="K1535" i="3"/>
  <c r="E1535" i="3"/>
  <c r="B1535" i="3"/>
  <c r="U1534" i="3"/>
  <c r="K1534" i="3"/>
  <c r="E1534" i="3"/>
  <c r="B1534" i="3"/>
  <c r="U1533" i="3"/>
  <c r="K1533" i="3"/>
  <c r="E1533" i="3"/>
  <c r="B1533" i="3"/>
  <c r="U1532" i="3"/>
  <c r="K1532" i="3"/>
  <c r="E1532" i="3"/>
  <c r="B1532" i="3"/>
  <c r="U1531" i="3"/>
  <c r="K1531" i="3"/>
  <c r="E1531" i="3"/>
  <c r="B1531" i="3"/>
  <c r="U1530" i="3"/>
  <c r="K1530" i="3"/>
  <c r="E1530" i="3"/>
  <c r="B1530" i="3"/>
  <c r="U1529" i="3"/>
  <c r="K1529" i="3"/>
  <c r="E1529" i="3"/>
  <c r="B1529" i="3"/>
  <c r="U1528" i="3"/>
  <c r="K1528" i="3"/>
  <c r="E1528" i="3"/>
  <c r="B1528" i="3"/>
  <c r="U1527" i="3"/>
  <c r="K1527" i="3"/>
  <c r="E1527" i="3"/>
  <c r="B1527" i="3"/>
  <c r="U1526" i="3"/>
  <c r="K1526" i="3"/>
  <c r="E1526" i="3"/>
  <c r="B1526" i="3"/>
  <c r="U1525" i="3"/>
  <c r="K1525" i="3"/>
  <c r="E1525" i="3"/>
  <c r="B1525" i="3"/>
  <c r="U1524" i="3"/>
  <c r="K1524" i="3"/>
  <c r="E1524" i="3"/>
  <c r="B1524" i="3"/>
  <c r="U1523" i="3"/>
  <c r="K1523" i="3"/>
  <c r="E1523" i="3"/>
  <c r="B1523" i="3"/>
  <c r="U1522" i="3"/>
  <c r="K1522" i="3"/>
  <c r="E1522" i="3"/>
  <c r="B1522" i="3"/>
  <c r="U1521" i="3"/>
  <c r="K1521" i="3"/>
  <c r="E1521" i="3"/>
  <c r="B1521" i="3"/>
  <c r="U1520" i="3"/>
  <c r="K1520" i="3"/>
  <c r="E1520" i="3"/>
  <c r="B1520" i="3"/>
  <c r="U1519" i="3"/>
  <c r="K1519" i="3"/>
  <c r="E1519" i="3"/>
  <c r="B1519" i="3"/>
  <c r="U1518" i="3"/>
  <c r="K1518" i="3"/>
  <c r="E1518" i="3"/>
  <c r="B1518" i="3"/>
  <c r="U1517" i="3"/>
  <c r="K1517" i="3"/>
  <c r="E1517" i="3"/>
  <c r="B1517" i="3"/>
  <c r="U1516" i="3"/>
  <c r="K1516" i="3"/>
  <c r="E1516" i="3"/>
  <c r="B1516" i="3"/>
  <c r="U1515" i="3"/>
  <c r="K1515" i="3"/>
  <c r="E1515" i="3"/>
  <c r="B1515" i="3"/>
  <c r="U1514" i="3"/>
  <c r="K1514" i="3"/>
  <c r="E1514" i="3"/>
  <c r="B1514" i="3"/>
  <c r="U1513" i="3"/>
  <c r="K1513" i="3"/>
  <c r="E1513" i="3"/>
  <c r="B1513" i="3"/>
  <c r="U1512" i="3"/>
  <c r="K1512" i="3"/>
  <c r="E1512" i="3"/>
  <c r="B1512" i="3"/>
  <c r="U1511" i="3"/>
  <c r="K1511" i="3"/>
  <c r="E1511" i="3"/>
  <c r="B1511" i="3"/>
  <c r="U1510" i="3"/>
  <c r="K1510" i="3"/>
  <c r="E1510" i="3"/>
  <c r="B1510" i="3"/>
  <c r="U1509" i="3"/>
  <c r="K1509" i="3"/>
  <c r="E1509" i="3"/>
  <c r="B1509" i="3"/>
  <c r="U1508" i="3"/>
  <c r="K1508" i="3"/>
  <c r="E1508" i="3"/>
  <c r="B1508" i="3"/>
  <c r="U1507" i="3"/>
  <c r="K1507" i="3"/>
  <c r="E1507" i="3"/>
  <c r="B1507" i="3"/>
  <c r="U1506" i="3"/>
  <c r="K1506" i="3"/>
  <c r="E1506" i="3"/>
  <c r="B1506" i="3"/>
  <c r="U1505" i="3"/>
  <c r="K1505" i="3"/>
  <c r="E1505" i="3"/>
  <c r="B1505" i="3"/>
  <c r="U1504" i="3"/>
  <c r="K1504" i="3"/>
  <c r="E1504" i="3"/>
  <c r="B1504" i="3"/>
  <c r="U1503" i="3"/>
  <c r="K1503" i="3"/>
  <c r="E1503" i="3"/>
  <c r="B1503" i="3"/>
  <c r="U1502" i="3"/>
  <c r="K1502" i="3"/>
  <c r="E1502" i="3"/>
  <c r="B1502" i="3"/>
  <c r="U1501" i="3"/>
  <c r="K1501" i="3"/>
  <c r="E1501" i="3"/>
  <c r="B1501" i="3"/>
  <c r="U1500" i="3"/>
  <c r="K1500" i="3"/>
  <c r="E1500" i="3"/>
  <c r="B1500" i="3"/>
  <c r="U1499" i="3"/>
  <c r="K1499" i="3"/>
  <c r="E1499" i="3"/>
  <c r="B1499" i="3"/>
  <c r="U1498" i="3"/>
  <c r="K1498" i="3"/>
  <c r="E1498" i="3"/>
  <c r="B1498" i="3"/>
  <c r="U1497" i="3"/>
  <c r="K1497" i="3"/>
  <c r="E1497" i="3"/>
  <c r="B1497" i="3"/>
  <c r="U1496" i="3"/>
  <c r="K1496" i="3"/>
  <c r="E1496" i="3"/>
  <c r="B1496" i="3"/>
  <c r="K1495" i="3"/>
  <c r="E1495" i="3"/>
  <c r="B1495" i="3"/>
  <c r="U1494" i="3"/>
  <c r="K1494" i="3"/>
  <c r="E1494" i="3"/>
  <c r="B1494" i="3"/>
  <c r="U1493" i="3"/>
  <c r="K1493" i="3"/>
  <c r="E1493" i="3"/>
  <c r="B1493" i="3"/>
  <c r="U1492" i="3"/>
  <c r="K1492" i="3"/>
  <c r="E1492" i="3"/>
  <c r="B1492" i="3"/>
  <c r="U1491" i="3"/>
  <c r="K1491" i="3"/>
  <c r="E1491" i="3"/>
  <c r="B1491" i="3"/>
  <c r="U1490" i="3"/>
  <c r="K1490" i="3"/>
  <c r="E1490" i="3"/>
  <c r="B1490" i="3"/>
  <c r="U1489" i="3"/>
  <c r="K1489" i="3"/>
  <c r="E1489" i="3"/>
  <c r="B1489" i="3"/>
  <c r="U1488" i="3"/>
  <c r="K1488" i="3"/>
  <c r="E1488" i="3"/>
  <c r="B1488" i="3"/>
  <c r="U1487" i="3"/>
  <c r="K1487" i="3"/>
  <c r="E1487" i="3"/>
  <c r="B1487" i="3"/>
  <c r="U1486" i="3"/>
  <c r="K1486" i="3"/>
  <c r="E1486" i="3"/>
  <c r="B1486" i="3"/>
  <c r="U1485" i="3"/>
  <c r="K1485" i="3"/>
  <c r="E1485" i="3"/>
  <c r="B1485" i="3"/>
  <c r="U1484" i="3"/>
  <c r="K1484" i="3"/>
  <c r="E1484" i="3"/>
  <c r="B1484" i="3"/>
  <c r="U1483" i="3"/>
  <c r="K1483" i="3"/>
  <c r="E1483" i="3"/>
  <c r="B1483" i="3"/>
  <c r="U1482" i="3"/>
  <c r="K1482" i="3"/>
  <c r="E1482" i="3"/>
  <c r="B1482" i="3"/>
  <c r="U1481" i="3"/>
  <c r="K1481" i="3"/>
  <c r="E1481" i="3"/>
  <c r="B1481" i="3"/>
  <c r="U1480" i="3"/>
  <c r="K1480" i="3"/>
  <c r="E1480" i="3"/>
  <c r="B1480" i="3"/>
  <c r="U1479" i="3"/>
  <c r="K1479" i="3"/>
  <c r="E1479" i="3"/>
  <c r="B1479" i="3"/>
  <c r="U1478" i="3"/>
  <c r="K1478" i="3"/>
  <c r="E1478" i="3"/>
  <c r="B1478" i="3"/>
  <c r="U1477" i="3"/>
  <c r="K1477" i="3"/>
  <c r="E1477" i="3"/>
  <c r="B1477" i="3"/>
  <c r="U1476" i="3"/>
  <c r="K1476" i="3"/>
  <c r="E1476" i="3"/>
  <c r="B1476" i="3"/>
  <c r="U1475" i="3"/>
  <c r="K1475" i="3"/>
  <c r="E1475" i="3"/>
  <c r="B1475" i="3"/>
  <c r="U1474" i="3"/>
  <c r="K1474" i="3"/>
  <c r="E1474" i="3"/>
  <c r="B1474" i="3"/>
  <c r="U1473" i="3"/>
  <c r="K1473" i="3"/>
  <c r="E1473" i="3"/>
  <c r="B1473" i="3"/>
  <c r="U1472" i="3"/>
  <c r="K1472" i="3"/>
  <c r="E1472" i="3"/>
  <c r="B1472" i="3"/>
  <c r="U1471" i="3"/>
  <c r="K1471" i="3"/>
  <c r="E1471" i="3"/>
  <c r="B1471" i="3"/>
  <c r="U1470" i="3"/>
  <c r="K1470" i="3"/>
  <c r="E1470" i="3"/>
  <c r="B1470" i="3"/>
  <c r="U1469" i="3"/>
  <c r="K1469" i="3"/>
  <c r="E1469" i="3"/>
  <c r="B1469" i="3"/>
  <c r="U1468" i="3"/>
  <c r="K1468" i="3"/>
  <c r="E1468" i="3"/>
  <c r="B1468" i="3"/>
  <c r="U1467" i="3"/>
  <c r="K1467" i="3"/>
  <c r="E1467" i="3"/>
  <c r="B1467" i="3"/>
  <c r="U1466" i="3"/>
  <c r="K1466" i="3"/>
  <c r="E1466" i="3"/>
  <c r="B1466" i="3"/>
  <c r="U1465" i="3"/>
  <c r="K1465" i="3"/>
  <c r="E1465" i="3"/>
  <c r="B1465" i="3"/>
  <c r="U1464" i="3"/>
  <c r="K1464" i="3"/>
  <c r="E1464" i="3"/>
  <c r="B1464" i="3"/>
  <c r="U1463" i="3"/>
  <c r="K1463" i="3"/>
  <c r="E1463" i="3"/>
  <c r="B1463" i="3"/>
  <c r="U1462" i="3"/>
  <c r="K1462" i="3"/>
  <c r="E1462" i="3"/>
  <c r="B1462" i="3"/>
  <c r="U1461" i="3"/>
  <c r="K1461" i="3"/>
  <c r="E1461" i="3"/>
  <c r="B1461" i="3"/>
  <c r="U1460" i="3"/>
  <c r="K1460" i="3"/>
  <c r="E1460" i="3"/>
  <c r="B1460" i="3"/>
  <c r="K1459" i="3"/>
  <c r="E1459" i="3"/>
  <c r="B1459" i="3"/>
  <c r="U1458" i="3"/>
  <c r="K1458" i="3"/>
  <c r="E1458" i="3"/>
  <c r="B1458" i="3"/>
  <c r="U1457" i="3"/>
  <c r="K1457" i="3"/>
  <c r="E1457" i="3"/>
  <c r="B1457" i="3"/>
  <c r="U1456" i="3"/>
  <c r="K1456" i="3"/>
  <c r="E1456" i="3"/>
  <c r="B1456" i="3"/>
  <c r="U1455" i="3"/>
  <c r="K1455" i="3"/>
  <c r="E1455" i="3"/>
  <c r="B1455" i="3"/>
  <c r="U1454" i="3"/>
  <c r="K1454" i="3"/>
  <c r="E1454" i="3"/>
  <c r="B1454" i="3"/>
  <c r="U1453" i="3"/>
  <c r="K1453" i="3"/>
  <c r="E1453" i="3"/>
  <c r="B1453" i="3"/>
  <c r="U1452" i="3"/>
  <c r="K1452" i="3"/>
  <c r="E1452" i="3"/>
  <c r="B1452" i="3"/>
  <c r="U1451" i="3"/>
  <c r="K1451" i="3"/>
  <c r="E1451" i="3"/>
  <c r="B1451" i="3"/>
  <c r="U1450" i="3"/>
  <c r="K1450" i="3"/>
  <c r="E1450" i="3"/>
  <c r="B1450" i="3"/>
  <c r="U1449" i="3"/>
  <c r="K1449" i="3"/>
  <c r="E1449" i="3"/>
  <c r="B1449" i="3"/>
  <c r="U1448" i="3"/>
  <c r="K1448" i="3"/>
  <c r="E1448" i="3"/>
  <c r="B1448" i="3"/>
  <c r="U1447" i="3"/>
  <c r="K1447" i="3"/>
  <c r="E1447" i="3"/>
  <c r="B1447" i="3"/>
  <c r="U1446" i="3"/>
  <c r="K1446" i="3"/>
  <c r="E1446" i="3"/>
  <c r="B1446" i="3"/>
  <c r="U1445" i="3"/>
  <c r="K1445" i="3"/>
  <c r="E1445" i="3"/>
  <c r="B1445" i="3"/>
  <c r="U1444" i="3"/>
  <c r="K1444" i="3"/>
  <c r="E1444" i="3"/>
  <c r="B1444" i="3"/>
  <c r="U1443" i="3"/>
  <c r="K1443" i="3"/>
  <c r="E1443" i="3"/>
  <c r="B1443" i="3"/>
  <c r="U1442" i="3"/>
  <c r="K1442" i="3"/>
  <c r="E1442" i="3"/>
  <c r="B1442" i="3"/>
  <c r="U1441" i="3"/>
  <c r="K1441" i="3"/>
  <c r="E1441" i="3"/>
  <c r="B1441" i="3"/>
  <c r="U1440" i="3"/>
  <c r="K1440" i="3"/>
  <c r="E1440" i="3"/>
  <c r="B1440" i="3"/>
  <c r="U1439" i="3"/>
  <c r="K1439" i="3"/>
  <c r="E1439" i="3"/>
  <c r="B1439" i="3"/>
  <c r="U1438" i="3"/>
  <c r="K1438" i="3"/>
  <c r="E1438" i="3"/>
  <c r="B1438" i="3"/>
  <c r="U1437" i="3"/>
  <c r="K1437" i="3"/>
  <c r="E1437" i="3"/>
  <c r="B1437" i="3"/>
  <c r="U1436" i="3"/>
  <c r="K1436" i="3"/>
  <c r="E1436" i="3"/>
  <c r="B1436" i="3"/>
  <c r="U1435" i="3"/>
  <c r="K1435" i="3"/>
  <c r="E1435" i="3"/>
  <c r="B1435" i="3"/>
  <c r="U1434" i="3"/>
  <c r="K1434" i="3"/>
  <c r="E1434" i="3"/>
  <c r="B1434" i="3"/>
  <c r="U1433" i="3"/>
  <c r="K1433" i="3"/>
  <c r="E1433" i="3"/>
  <c r="B1433" i="3"/>
  <c r="U1432" i="3"/>
  <c r="K1432" i="3"/>
  <c r="E1432" i="3"/>
  <c r="B1432" i="3"/>
  <c r="U1431" i="3"/>
  <c r="K1431" i="3"/>
  <c r="E1431" i="3"/>
  <c r="B1431" i="3"/>
  <c r="U1430" i="3"/>
  <c r="K1430" i="3"/>
  <c r="E1430" i="3"/>
  <c r="B1430" i="3"/>
  <c r="U1429" i="3"/>
  <c r="K1429" i="3"/>
  <c r="E1429" i="3"/>
  <c r="B1429" i="3"/>
  <c r="U1428" i="3"/>
  <c r="K1428" i="3"/>
  <c r="E1428" i="3"/>
  <c r="B1428" i="3"/>
  <c r="U1427" i="3"/>
  <c r="K1427" i="3"/>
  <c r="E1427" i="3"/>
  <c r="B1427" i="3"/>
  <c r="K1426" i="3"/>
  <c r="E1426" i="3"/>
  <c r="B1426" i="3"/>
  <c r="U1425" i="3"/>
  <c r="K1425" i="3"/>
  <c r="E1425" i="3"/>
  <c r="B1425" i="3"/>
  <c r="U1424" i="3"/>
  <c r="K1424" i="3"/>
  <c r="E1424" i="3"/>
  <c r="B1424" i="3"/>
  <c r="U1423" i="3"/>
  <c r="K1423" i="3"/>
  <c r="E1423" i="3"/>
  <c r="B1423" i="3"/>
  <c r="U1422" i="3"/>
  <c r="K1422" i="3"/>
  <c r="E1422" i="3"/>
  <c r="B1422" i="3"/>
  <c r="U1421" i="3"/>
  <c r="K1421" i="3"/>
  <c r="E1421" i="3"/>
  <c r="B1421" i="3"/>
  <c r="U1420" i="3"/>
  <c r="K1420" i="3"/>
  <c r="E1420" i="3"/>
  <c r="B1420" i="3"/>
  <c r="U1419" i="3"/>
  <c r="K1419" i="3"/>
  <c r="E1419" i="3"/>
  <c r="B1419" i="3"/>
  <c r="U1418" i="3"/>
  <c r="K1418" i="3"/>
  <c r="E1418" i="3"/>
  <c r="B1418" i="3"/>
  <c r="U1417" i="3"/>
  <c r="K1417" i="3"/>
  <c r="E1417" i="3"/>
  <c r="B1417" i="3"/>
  <c r="U1416" i="3"/>
  <c r="K1416" i="3"/>
  <c r="E1416" i="3"/>
  <c r="B1416" i="3"/>
  <c r="U1415" i="3"/>
  <c r="K1415" i="3"/>
  <c r="E1415" i="3"/>
  <c r="B1415" i="3"/>
  <c r="U1414" i="3"/>
  <c r="K1414" i="3"/>
  <c r="E1414" i="3"/>
  <c r="B1414" i="3"/>
  <c r="U1413" i="3"/>
  <c r="K1413" i="3"/>
  <c r="E1413" i="3"/>
  <c r="B1413" i="3"/>
  <c r="U1412" i="3"/>
  <c r="K1412" i="3"/>
  <c r="E1412" i="3"/>
  <c r="B1412" i="3"/>
  <c r="U1411" i="3"/>
  <c r="K1411" i="3"/>
  <c r="E1411" i="3"/>
  <c r="B1411" i="3"/>
  <c r="U1410" i="3"/>
  <c r="K1410" i="3"/>
  <c r="E1410" i="3"/>
  <c r="B1410" i="3"/>
  <c r="U1409" i="3"/>
  <c r="K1409" i="3"/>
  <c r="E1409" i="3"/>
  <c r="B1409" i="3"/>
  <c r="U1408" i="3"/>
  <c r="K1408" i="3"/>
  <c r="E1408" i="3"/>
  <c r="B1408" i="3"/>
  <c r="U1407" i="3"/>
  <c r="K1407" i="3"/>
  <c r="E1407" i="3"/>
  <c r="B1407" i="3"/>
  <c r="U1406" i="3"/>
  <c r="K1406" i="3"/>
  <c r="E1406" i="3"/>
  <c r="B1406" i="3"/>
  <c r="U1405" i="3"/>
  <c r="K1405" i="3"/>
  <c r="E1405" i="3"/>
  <c r="B1405" i="3"/>
  <c r="U1404" i="3"/>
  <c r="K1404" i="3"/>
  <c r="E1404" i="3"/>
  <c r="B1404" i="3"/>
  <c r="U1403" i="3"/>
  <c r="K1403" i="3"/>
  <c r="E1403" i="3"/>
  <c r="B1403" i="3"/>
  <c r="U1402" i="3"/>
  <c r="K1402" i="3"/>
  <c r="E1402" i="3"/>
  <c r="B1402" i="3"/>
  <c r="U1401" i="3"/>
  <c r="K1401" i="3"/>
  <c r="E1401" i="3"/>
  <c r="B1401" i="3"/>
  <c r="U1400" i="3"/>
  <c r="K1400" i="3"/>
  <c r="E1400" i="3"/>
  <c r="B1400" i="3"/>
  <c r="U1399" i="3"/>
  <c r="K1399" i="3"/>
  <c r="E1399" i="3"/>
  <c r="B1399" i="3"/>
  <c r="U1398" i="3"/>
  <c r="K1398" i="3"/>
  <c r="E1398" i="3"/>
  <c r="B1398" i="3"/>
  <c r="U1397" i="3"/>
  <c r="K1397" i="3"/>
  <c r="E1397" i="3"/>
  <c r="B1397" i="3"/>
  <c r="U1396" i="3"/>
  <c r="K1396" i="3"/>
  <c r="E1396" i="3"/>
  <c r="B1396" i="3"/>
  <c r="U1395" i="3"/>
  <c r="K1395" i="3"/>
  <c r="E1395" i="3"/>
  <c r="B1395" i="3"/>
  <c r="U1394" i="3"/>
  <c r="K1394" i="3"/>
  <c r="E1394" i="3"/>
  <c r="B1394" i="3"/>
  <c r="U1393" i="3"/>
  <c r="K1393" i="3"/>
  <c r="E1393" i="3"/>
  <c r="B1393" i="3"/>
  <c r="U1392" i="3"/>
  <c r="K1392" i="3"/>
  <c r="E1392" i="3"/>
  <c r="B1392" i="3"/>
  <c r="U1391" i="3"/>
  <c r="K1391" i="3"/>
  <c r="E1391" i="3"/>
  <c r="B1391" i="3"/>
  <c r="U1390" i="3"/>
  <c r="K1390" i="3"/>
  <c r="E1390" i="3"/>
  <c r="B1390" i="3"/>
  <c r="U1389" i="3"/>
  <c r="K1389" i="3"/>
  <c r="E1389" i="3"/>
  <c r="B1389" i="3"/>
  <c r="U1388" i="3"/>
  <c r="K1388" i="3"/>
  <c r="E1388" i="3"/>
  <c r="B1388" i="3"/>
  <c r="U1387" i="3"/>
  <c r="K1387" i="3"/>
  <c r="E1387" i="3"/>
  <c r="B1387" i="3"/>
  <c r="U1386" i="3"/>
  <c r="K1386" i="3"/>
  <c r="E1386" i="3"/>
  <c r="B1386" i="3"/>
  <c r="U1385" i="3"/>
  <c r="K1385" i="3"/>
  <c r="E1385" i="3"/>
  <c r="B1385" i="3"/>
  <c r="U1384" i="3"/>
  <c r="K1384" i="3"/>
  <c r="H1384" i="3"/>
  <c r="E1384" i="3"/>
  <c r="B1384" i="3"/>
  <c r="U1383" i="3"/>
  <c r="K1383" i="3"/>
  <c r="E1383" i="3"/>
  <c r="B1383" i="3"/>
  <c r="U1382" i="3"/>
  <c r="K1382" i="3"/>
  <c r="E1382" i="3"/>
  <c r="B1382" i="3"/>
  <c r="U1381" i="3"/>
  <c r="K1381" i="3"/>
  <c r="E1381" i="3"/>
  <c r="B1381" i="3"/>
  <c r="U1380" i="3"/>
  <c r="K1380" i="3"/>
  <c r="E1380" i="3"/>
  <c r="B1380" i="3"/>
  <c r="U1379" i="3"/>
  <c r="K1379" i="3"/>
  <c r="E1379" i="3"/>
  <c r="B1379" i="3"/>
  <c r="U1378" i="3"/>
  <c r="K1378" i="3"/>
  <c r="E1378" i="3"/>
  <c r="B1378" i="3"/>
  <c r="U1377" i="3"/>
  <c r="K1377" i="3"/>
  <c r="E1377" i="3"/>
  <c r="B1377" i="3"/>
  <c r="U1376" i="3"/>
  <c r="K1376" i="3"/>
  <c r="E1376" i="3"/>
  <c r="B1376" i="3"/>
  <c r="U1375" i="3"/>
  <c r="K1375" i="3"/>
  <c r="E1375" i="3"/>
  <c r="B1375" i="3"/>
  <c r="U1374" i="3"/>
  <c r="K1374" i="3"/>
  <c r="E1374" i="3"/>
  <c r="B1374" i="3"/>
  <c r="U1373" i="3"/>
  <c r="K1373" i="3"/>
  <c r="E1373" i="3"/>
  <c r="B1373" i="3"/>
  <c r="U1372" i="3"/>
  <c r="K1372" i="3"/>
  <c r="E1372" i="3"/>
  <c r="B1372" i="3"/>
  <c r="U1371" i="3"/>
  <c r="K1371" i="3"/>
  <c r="E1371" i="3"/>
  <c r="B1371" i="3"/>
  <c r="U1370" i="3"/>
  <c r="K1370" i="3"/>
  <c r="E1370" i="3"/>
  <c r="B1370" i="3"/>
  <c r="U1369" i="3"/>
  <c r="K1369" i="3"/>
  <c r="E1369" i="3"/>
  <c r="B1369" i="3"/>
  <c r="U1368" i="3"/>
  <c r="K1368" i="3"/>
  <c r="E1368" i="3"/>
  <c r="B1368" i="3"/>
  <c r="U1367" i="3"/>
  <c r="K1367" i="3"/>
  <c r="E1367" i="3"/>
  <c r="B1367" i="3"/>
  <c r="U1366" i="3"/>
  <c r="K1366" i="3"/>
  <c r="E1366" i="3"/>
  <c r="B1366" i="3"/>
  <c r="U1365" i="3"/>
  <c r="K1365" i="3"/>
  <c r="E1365" i="3"/>
  <c r="B1365" i="3"/>
  <c r="U1364" i="3"/>
  <c r="K1364" i="3"/>
  <c r="E1364" i="3"/>
  <c r="B1364" i="3"/>
  <c r="U1363" i="3"/>
  <c r="K1363" i="3"/>
  <c r="E1363" i="3"/>
  <c r="B1363" i="3"/>
  <c r="U1362" i="3"/>
  <c r="K1362" i="3"/>
  <c r="E1362" i="3"/>
  <c r="B1362" i="3"/>
  <c r="U1361" i="3"/>
  <c r="K1361" i="3"/>
  <c r="E1361" i="3"/>
  <c r="B1361" i="3"/>
  <c r="U1360" i="3"/>
  <c r="K1360" i="3"/>
  <c r="E1360" i="3"/>
  <c r="B1360" i="3"/>
  <c r="U1359" i="3"/>
  <c r="K1359" i="3"/>
  <c r="E1359" i="3"/>
  <c r="B1359" i="3"/>
  <c r="U1358" i="3"/>
  <c r="K1358" i="3"/>
  <c r="E1358" i="3"/>
  <c r="B1358" i="3"/>
  <c r="U1357" i="3"/>
  <c r="K1357" i="3"/>
  <c r="E1357" i="3"/>
  <c r="B1357" i="3"/>
  <c r="U1356" i="3"/>
  <c r="K1356" i="3"/>
  <c r="E1356" i="3"/>
  <c r="B1356" i="3"/>
  <c r="U1355" i="3"/>
  <c r="K1355" i="3"/>
  <c r="E1355" i="3"/>
  <c r="B1355" i="3"/>
  <c r="U1354" i="3"/>
  <c r="K1354" i="3"/>
  <c r="E1354" i="3"/>
  <c r="B1354" i="3"/>
  <c r="U1353" i="3"/>
  <c r="K1353" i="3"/>
  <c r="E1353" i="3"/>
  <c r="B1353" i="3"/>
  <c r="U1352" i="3"/>
  <c r="K1352" i="3"/>
  <c r="E1352" i="3"/>
  <c r="B1352" i="3"/>
  <c r="U1351" i="3"/>
  <c r="K1351" i="3"/>
  <c r="E1351" i="3"/>
  <c r="B1351" i="3"/>
  <c r="U1350" i="3"/>
  <c r="K1350" i="3"/>
  <c r="E1350" i="3"/>
  <c r="B1350" i="3"/>
  <c r="U1349" i="3"/>
  <c r="K1349" i="3"/>
  <c r="E1349" i="3"/>
  <c r="B1349" i="3"/>
  <c r="K1348" i="3"/>
  <c r="E1348" i="3"/>
  <c r="B1348" i="3"/>
  <c r="U1347" i="3"/>
  <c r="K1347" i="3"/>
  <c r="E1347" i="3"/>
  <c r="B1347" i="3"/>
  <c r="U1346" i="3"/>
  <c r="K1346" i="3"/>
  <c r="E1346" i="3"/>
  <c r="B1346" i="3"/>
  <c r="U1345" i="3"/>
  <c r="K1345" i="3"/>
  <c r="E1345" i="3"/>
  <c r="B1345" i="3"/>
  <c r="U1344" i="3"/>
  <c r="K1344" i="3"/>
  <c r="E1344" i="3"/>
  <c r="B1344" i="3"/>
  <c r="U1343" i="3"/>
  <c r="K1343" i="3"/>
  <c r="E1343" i="3"/>
  <c r="B1343" i="3"/>
  <c r="U1342" i="3"/>
  <c r="K1342" i="3"/>
  <c r="E1342" i="3"/>
  <c r="B1342" i="3"/>
  <c r="U1341" i="3"/>
  <c r="K1341" i="3"/>
  <c r="E1341" i="3"/>
  <c r="B1341" i="3"/>
  <c r="U1340" i="3"/>
  <c r="K1340" i="3"/>
  <c r="E1340" i="3"/>
  <c r="B1340" i="3"/>
  <c r="U1339" i="3"/>
  <c r="K1339" i="3"/>
  <c r="E1339" i="3"/>
  <c r="B1339" i="3"/>
  <c r="U1338" i="3"/>
  <c r="K1338" i="3"/>
  <c r="E1338" i="3"/>
  <c r="B1338" i="3"/>
  <c r="U1337" i="3"/>
  <c r="K1337" i="3"/>
  <c r="E1337" i="3"/>
  <c r="B1337" i="3"/>
  <c r="U1336" i="3"/>
  <c r="K1336" i="3"/>
  <c r="E1336" i="3"/>
  <c r="B1336" i="3"/>
  <c r="U1335" i="3"/>
  <c r="K1335" i="3"/>
  <c r="E1335" i="3"/>
  <c r="B1335" i="3"/>
  <c r="U1334" i="3"/>
  <c r="K1334" i="3"/>
  <c r="E1334" i="3"/>
  <c r="B1334" i="3"/>
  <c r="U1333" i="3"/>
  <c r="K1333" i="3"/>
  <c r="E1333" i="3"/>
  <c r="B1333" i="3"/>
  <c r="U1332" i="3"/>
  <c r="K1332" i="3"/>
  <c r="E1332" i="3"/>
  <c r="B1332" i="3"/>
  <c r="U1331" i="3"/>
  <c r="K1331" i="3"/>
  <c r="E1331" i="3"/>
  <c r="B1331" i="3"/>
  <c r="U1330" i="3"/>
  <c r="K1330" i="3"/>
  <c r="E1330" i="3"/>
  <c r="B1330" i="3"/>
  <c r="U1329" i="3"/>
  <c r="K1329" i="3"/>
  <c r="E1329" i="3"/>
  <c r="B1329" i="3"/>
  <c r="U1328" i="3"/>
  <c r="K1328" i="3"/>
  <c r="E1328" i="3"/>
  <c r="B1328" i="3"/>
  <c r="U1327" i="3"/>
  <c r="K1327" i="3"/>
  <c r="E1327" i="3"/>
  <c r="B1327" i="3"/>
  <c r="U1326" i="3"/>
  <c r="K1326" i="3"/>
  <c r="E1326" i="3"/>
  <c r="B1326" i="3"/>
  <c r="U1325" i="3"/>
  <c r="K1325" i="3"/>
  <c r="E1325" i="3"/>
  <c r="B1325" i="3"/>
  <c r="U1324" i="3"/>
  <c r="K1324" i="3"/>
  <c r="E1324" i="3"/>
  <c r="B1324" i="3"/>
  <c r="U1323" i="3"/>
  <c r="K1323" i="3"/>
  <c r="E1323" i="3"/>
  <c r="B1323" i="3"/>
  <c r="U1322" i="3"/>
  <c r="K1322" i="3"/>
  <c r="E1322" i="3"/>
  <c r="B1322" i="3"/>
  <c r="U1321" i="3"/>
  <c r="K1321" i="3"/>
  <c r="E1321" i="3"/>
  <c r="B1321" i="3"/>
  <c r="U1320" i="3"/>
  <c r="K1320" i="3"/>
  <c r="E1320" i="3"/>
  <c r="B1320" i="3"/>
  <c r="U1319" i="3"/>
  <c r="K1319" i="3"/>
  <c r="E1319" i="3"/>
  <c r="B1319" i="3"/>
  <c r="U1318" i="3"/>
  <c r="K1318" i="3"/>
  <c r="E1318" i="3"/>
  <c r="B1318" i="3"/>
  <c r="U1317" i="3"/>
  <c r="K1317" i="3"/>
  <c r="E1317" i="3"/>
  <c r="B1317" i="3"/>
  <c r="U1316" i="3"/>
  <c r="K1316" i="3"/>
  <c r="E1316" i="3"/>
  <c r="B1316" i="3"/>
  <c r="U1315" i="3"/>
  <c r="K1315" i="3"/>
  <c r="E1315" i="3"/>
  <c r="B1315" i="3"/>
  <c r="U1314" i="3"/>
  <c r="K1314" i="3"/>
  <c r="E1314" i="3"/>
  <c r="B1314" i="3"/>
  <c r="U1313" i="3"/>
  <c r="K1313" i="3"/>
  <c r="E1313" i="3"/>
  <c r="B1313" i="3"/>
  <c r="U1312" i="3"/>
  <c r="K1312" i="3"/>
  <c r="E1312" i="3"/>
  <c r="B1312" i="3"/>
  <c r="U1311" i="3"/>
  <c r="K1311" i="3"/>
  <c r="E1311" i="3"/>
  <c r="B1311" i="3"/>
  <c r="U1310" i="3"/>
  <c r="K1310" i="3"/>
  <c r="E1310" i="3"/>
  <c r="B1310" i="3"/>
  <c r="U1309" i="3"/>
  <c r="K1309" i="3"/>
  <c r="E1309" i="3"/>
  <c r="B1309" i="3"/>
  <c r="U1308" i="3"/>
  <c r="K1308" i="3"/>
  <c r="E1308" i="3"/>
  <c r="B1308" i="3"/>
  <c r="U1307" i="3"/>
  <c r="K1307" i="3"/>
  <c r="E1307" i="3"/>
  <c r="B1307" i="3"/>
  <c r="U1306" i="3"/>
  <c r="K1306" i="3"/>
  <c r="E1306" i="3"/>
  <c r="B1306" i="3"/>
  <c r="U1305" i="3"/>
  <c r="K1305" i="3"/>
  <c r="E1305" i="3"/>
  <c r="B1305" i="3"/>
  <c r="U1304" i="3"/>
  <c r="K1304" i="3"/>
  <c r="E1304" i="3"/>
  <c r="B1304" i="3"/>
  <c r="U1303" i="3"/>
  <c r="K1303" i="3"/>
  <c r="E1303" i="3"/>
  <c r="B1303" i="3"/>
  <c r="U1302" i="3"/>
  <c r="K1302" i="3"/>
  <c r="E1302" i="3"/>
  <c r="B1302" i="3"/>
  <c r="U1301" i="3"/>
  <c r="K1301" i="3"/>
  <c r="E1301" i="3"/>
  <c r="B1301" i="3"/>
  <c r="U1300" i="3"/>
  <c r="K1300" i="3"/>
  <c r="E1300" i="3"/>
  <c r="B1300" i="3"/>
  <c r="U1299" i="3"/>
  <c r="K1299" i="3"/>
  <c r="E1299" i="3"/>
  <c r="B1299" i="3"/>
  <c r="U1298" i="3"/>
  <c r="K1298" i="3"/>
  <c r="E1298" i="3"/>
  <c r="B1298" i="3"/>
  <c r="U1297" i="3"/>
  <c r="K1297" i="3"/>
  <c r="E1297" i="3"/>
  <c r="B1297" i="3"/>
  <c r="U1296" i="3"/>
  <c r="K1296" i="3"/>
  <c r="E1296" i="3"/>
  <c r="B1296" i="3"/>
  <c r="U1295" i="3"/>
  <c r="K1295" i="3"/>
  <c r="E1295" i="3"/>
  <c r="B1295" i="3"/>
  <c r="U1294" i="3"/>
  <c r="K1294" i="3"/>
  <c r="E1294" i="3"/>
  <c r="B1294" i="3"/>
  <c r="U1293" i="3"/>
  <c r="K1293" i="3"/>
  <c r="E1293" i="3"/>
  <c r="B1293" i="3"/>
  <c r="U1292" i="3"/>
  <c r="K1292" i="3"/>
  <c r="E1292" i="3"/>
  <c r="B1292" i="3"/>
  <c r="U1291" i="3"/>
  <c r="K1291" i="3"/>
  <c r="E1291" i="3"/>
  <c r="B1291" i="3"/>
  <c r="U1290" i="3"/>
  <c r="K1290" i="3"/>
  <c r="E1290" i="3"/>
  <c r="B1290" i="3"/>
  <c r="U1289" i="3"/>
  <c r="K1289" i="3"/>
  <c r="E1289" i="3"/>
  <c r="B1289" i="3"/>
  <c r="U1288" i="3"/>
  <c r="K1288" i="3"/>
  <c r="E1288" i="3"/>
  <c r="B1288" i="3"/>
  <c r="U1287" i="3"/>
  <c r="K1287" i="3"/>
  <c r="E1287" i="3"/>
  <c r="B1287" i="3"/>
  <c r="U1286" i="3"/>
  <c r="K1286" i="3"/>
  <c r="E1286" i="3"/>
  <c r="B1286" i="3"/>
  <c r="U1285" i="3"/>
  <c r="K1285" i="3"/>
  <c r="E1285" i="3"/>
  <c r="B1285" i="3"/>
  <c r="U1284" i="3"/>
  <c r="K1284" i="3"/>
  <c r="E1284" i="3"/>
  <c r="B1284" i="3"/>
  <c r="U1283" i="3"/>
  <c r="K1283" i="3"/>
  <c r="E1283" i="3"/>
  <c r="B1283" i="3"/>
  <c r="U1282" i="3"/>
  <c r="K1282" i="3"/>
  <c r="E1282" i="3"/>
  <c r="B1282" i="3"/>
  <c r="U1281" i="3"/>
  <c r="K1281" i="3"/>
  <c r="E1281" i="3"/>
  <c r="B1281" i="3"/>
  <c r="U1280" i="3"/>
  <c r="K1280" i="3"/>
  <c r="E1280" i="3"/>
  <c r="B1280" i="3"/>
  <c r="U1279" i="3"/>
  <c r="K1279" i="3"/>
  <c r="E1279" i="3"/>
  <c r="B1279" i="3"/>
  <c r="U1278" i="3"/>
  <c r="K1278" i="3"/>
  <c r="E1278" i="3"/>
  <c r="B1278" i="3"/>
  <c r="U1277" i="3"/>
  <c r="K1277" i="3"/>
  <c r="E1277" i="3"/>
  <c r="B1277" i="3"/>
  <c r="U1276" i="3"/>
  <c r="K1276" i="3"/>
  <c r="E1276" i="3"/>
  <c r="B1276" i="3"/>
  <c r="U1275" i="3"/>
  <c r="K1275" i="3"/>
  <c r="E1275" i="3"/>
  <c r="B1275" i="3"/>
  <c r="U1274" i="3"/>
  <c r="K1274" i="3"/>
  <c r="E1274" i="3"/>
  <c r="B1274" i="3"/>
  <c r="U1273" i="3"/>
  <c r="K1273" i="3"/>
  <c r="E1273" i="3"/>
  <c r="B1273" i="3"/>
  <c r="U1272" i="3"/>
  <c r="K1272" i="3"/>
  <c r="E1272" i="3"/>
  <c r="B1272" i="3"/>
  <c r="U1271" i="3"/>
  <c r="K1271" i="3"/>
  <c r="E1271" i="3"/>
  <c r="B1271" i="3"/>
  <c r="U1270" i="3"/>
  <c r="K1270" i="3"/>
  <c r="E1270" i="3"/>
  <c r="B1270" i="3"/>
  <c r="U1269" i="3"/>
  <c r="K1269" i="3"/>
  <c r="E1269" i="3"/>
  <c r="B1269" i="3"/>
  <c r="U1268" i="3"/>
  <c r="K1268" i="3"/>
  <c r="E1268" i="3"/>
  <c r="B1268" i="3"/>
  <c r="U1267" i="3"/>
  <c r="K1267" i="3"/>
  <c r="E1267" i="3"/>
  <c r="B1267" i="3"/>
  <c r="U1266" i="3"/>
  <c r="K1266" i="3"/>
  <c r="E1266" i="3"/>
  <c r="B1266" i="3"/>
  <c r="U1265" i="3"/>
  <c r="K1265" i="3"/>
  <c r="E1265" i="3"/>
  <c r="B1265" i="3"/>
  <c r="U1264" i="3"/>
  <c r="K1264" i="3"/>
  <c r="E1264" i="3"/>
  <c r="B1264" i="3"/>
  <c r="U1263" i="3"/>
  <c r="K1263" i="3"/>
  <c r="E1263" i="3"/>
  <c r="B1263" i="3"/>
  <c r="U1262" i="3"/>
  <c r="K1262" i="3"/>
  <c r="E1262" i="3"/>
  <c r="B1262" i="3"/>
  <c r="U1261" i="3"/>
  <c r="K1261" i="3"/>
  <c r="E1261" i="3"/>
  <c r="B1261" i="3"/>
  <c r="U1260" i="3"/>
  <c r="K1260" i="3"/>
  <c r="E1260" i="3"/>
  <c r="B1260" i="3"/>
  <c r="U1259" i="3"/>
  <c r="K1259" i="3"/>
  <c r="E1259" i="3"/>
  <c r="B1259" i="3"/>
  <c r="U1258" i="3"/>
  <c r="K1258" i="3"/>
  <c r="E1258" i="3"/>
  <c r="B1258" i="3"/>
  <c r="U1257" i="3"/>
  <c r="K1257" i="3"/>
  <c r="E1257" i="3"/>
  <c r="B1257" i="3"/>
  <c r="U1256" i="3"/>
  <c r="K1256" i="3"/>
  <c r="E1256" i="3"/>
  <c r="B1256" i="3"/>
  <c r="U1255" i="3"/>
  <c r="K1255" i="3"/>
  <c r="E1255" i="3"/>
  <c r="B1255" i="3"/>
  <c r="U1254" i="3"/>
  <c r="K1254" i="3"/>
  <c r="E1254" i="3"/>
  <c r="B1254" i="3"/>
  <c r="U1253" i="3"/>
  <c r="K1253" i="3"/>
  <c r="E1253" i="3"/>
  <c r="B1253" i="3"/>
  <c r="U1252" i="3"/>
  <c r="K1252" i="3"/>
  <c r="E1252" i="3"/>
  <c r="B1252" i="3"/>
  <c r="U1251" i="3"/>
  <c r="K1251" i="3"/>
  <c r="E1251" i="3"/>
  <c r="B1251" i="3"/>
  <c r="U1250" i="3"/>
  <c r="K1250" i="3"/>
  <c r="E1250" i="3"/>
  <c r="B1250" i="3"/>
  <c r="U1249" i="3"/>
  <c r="K1249" i="3"/>
  <c r="E1249" i="3"/>
  <c r="B1249" i="3"/>
  <c r="U1248" i="3"/>
  <c r="K1248" i="3"/>
  <c r="E1248" i="3"/>
  <c r="B1248" i="3"/>
  <c r="U1247" i="3"/>
  <c r="K1247" i="3"/>
  <c r="E1247" i="3"/>
  <c r="B1247" i="3"/>
  <c r="U1246" i="3"/>
  <c r="K1246" i="3"/>
  <c r="E1246" i="3"/>
  <c r="B1246" i="3"/>
  <c r="U1245" i="3"/>
  <c r="K1245" i="3"/>
  <c r="E1245" i="3"/>
  <c r="B1245" i="3"/>
  <c r="U1244" i="3"/>
  <c r="K1244" i="3"/>
  <c r="E1244" i="3"/>
  <c r="B1244" i="3"/>
  <c r="U1243" i="3"/>
  <c r="K1243" i="3"/>
  <c r="E1243" i="3"/>
  <c r="B1243" i="3"/>
  <c r="U1242" i="3"/>
  <c r="K1242" i="3"/>
  <c r="E1242" i="3"/>
  <c r="B1242" i="3"/>
  <c r="U1241" i="3"/>
  <c r="K1241" i="3"/>
  <c r="E1241" i="3"/>
  <c r="B1241" i="3"/>
  <c r="U1240" i="3"/>
  <c r="K1240" i="3"/>
  <c r="E1240" i="3"/>
  <c r="B1240" i="3"/>
  <c r="U1239" i="3"/>
  <c r="K1239" i="3"/>
  <c r="E1239" i="3"/>
  <c r="B1239" i="3"/>
  <c r="U1238" i="3"/>
  <c r="K1238" i="3"/>
  <c r="E1238" i="3"/>
  <c r="B1238" i="3"/>
  <c r="U1237" i="3"/>
  <c r="K1237" i="3"/>
  <c r="E1237" i="3"/>
  <c r="B1237" i="3"/>
  <c r="U1236" i="3"/>
  <c r="K1236" i="3"/>
  <c r="E1236" i="3"/>
  <c r="B1236" i="3"/>
  <c r="U1235" i="3"/>
  <c r="K1235" i="3"/>
  <c r="E1235" i="3"/>
  <c r="B1235" i="3"/>
  <c r="U1234" i="3"/>
  <c r="K1234" i="3"/>
  <c r="E1234" i="3"/>
  <c r="B1234" i="3"/>
  <c r="U1233" i="3"/>
  <c r="K1233" i="3"/>
  <c r="E1233" i="3"/>
  <c r="B1233" i="3"/>
  <c r="U1232" i="3"/>
  <c r="K1232" i="3"/>
  <c r="E1232" i="3"/>
  <c r="B1232" i="3"/>
  <c r="U1231" i="3"/>
  <c r="K1231" i="3"/>
  <c r="E1231" i="3"/>
  <c r="B1231" i="3"/>
  <c r="U1230" i="3"/>
  <c r="K1230" i="3"/>
  <c r="E1230" i="3"/>
  <c r="B1230" i="3"/>
  <c r="U1229" i="3"/>
  <c r="K1229" i="3"/>
  <c r="E1229" i="3"/>
  <c r="B1229" i="3"/>
  <c r="U1228" i="3"/>
  <c r="K1228" i="3"/>
  <c r="E1228" i="3"/>
  <c r="B1228" i="3"/>
  <c r="U1227" i="3"/>
  <c r="K1227" i="3"/>
  <c r="E1227" i="3"/>
  <c r="B1227" i="3"/>
  <c r="U1226" i="3"/>
  <c r="K1226" i="3"/>
  <c r="E1226" i="3"/>
  <c r="B1226" i="3"/>
  <c r="U1225" i="3"/>
  <c r="K1225" i="3"/>
  <c r="E1225" i="3"/>
  <c r="B1225" i="3"/>
  <c r="U1224" i="3"/>
  <c r="K1224" i="3"/>
  <c r="E1224" i="3"/>
  <c r="B1224" i="3"/>
  <c r="U1223" i="3"/>
  <c r="K1223" i="3"/>
  <c r="E1223" i="3"/>
  <c r="B1223" i="3"/>
  <c r="U1222" i="3"/>
  <c r="K1222" i="3"/>
  <c r="E1222" i="3"/>
  <c r="B1222" i="3"/>
  <c r="U1221" i="3"/>
  <c r="K1221" i="3"/>
  <c r="E1221" i="3"/>
  <c r="B1221" i="3"/>
  <c r="U1220" i="3"/>
  <c r="K1220" i="3"/>
  <c r="E1220" i="3"/>
  <c r="B1220" i="3"/>
  <c r="U1219" i="3"/>
  <c r="K1219" i="3"/>
  <c r="E1219" i="3"/>
  <c r="B1219" i="3"/>
  <c r="U1218" i="3"/>
  <c r="K1218" i="3"/>
  <c r="E1218" i="3"/>
  <c r="B1218" i="3"/>
  <c r="U1217" i="3"/>
  <c r="K1217" i="3"/>
  <c r="E1217" i="3"/>
  <c r="B1217" i="3"/>
  <c r="U1216" i="3"/>
  <c r="K1216" i="3"/>
  <c r="E1216" i="3"/>
  <c r="B1216" i="3"/>
  <c r="U1215" i="3"/>
  <c r="K1215" i="3"/>
  <c r="E1215" i="3"/>
  <c r="B1215" i="3"/>
  <c r="U1214" i="3"/>
  <c r="K1214" i="3"/>
  <c r="E1214" i="3"/>
  <c r="B1214" i="3"/>
  <c r="U1213" i="3"/>
  <c r="K1213" i="3"/>
  <c r="E1213" i="3"/>
  <c r="B1213" i="3"/>
  <c r="U1212" i="3"/>
  <c r="K1212" i="3"/>
  <c r="E1212" i="3"/>
  <c r="B1212" i="3"/>
  <c r="U1211" i="3"/>
  <c r="K1211" i="3"/>
  <c r="E1211" i="3"/>
  <c r="B1211" i="3"/>
  <c r="U1210" i="3"/>
  <c r="K1210" i="3"/>
  <c r="E1210" i="3"/>
  <c r="B1210" i="3"/>
  <c r="U1209" i="3"/>
  <c r="K1209" i="3"/>
  <c r="E1209" i="3"/>
  <c r="B1209" i="3"/>
  <c r="U1208" i="3"/>
  <c r="K1208" i="3"/>
  <c r="E1208" i="3"/>
  <c r="B1208" i="3"/>
  <c r="U1207" i="3"/>
  <c r="K1207" i="3"/>
  <c r="E1207" i="3"/>
  <c r="B1207" i="3"/>
  <c r="U1206" i="3"/>
  <c r="K1206" i="3"/>
  <c r="E1206" i="3"/>
  <c r="B1206" i="3"/>
  <c r="U1205" i="3"/>
  <c r="K1205" i="3"/>
  <c r="E1205" i="3"/>
  <c r="B1205" i="3"/>
  <c r="U1204" i="3"/>
  <c r="K1204" i="3"/>
  <c r="E1204" i="3"/>
  <c r="B1204" i="3"/>
  <c r="U1203" i="3"/>
  <c r="K1203" i="3"/>
  <c r="E1203" i="3"/>
  <c r="B1203" i="3"/>
  <c r="U1202" i="3"/>
  <c r="K1202" i="3"/>
  <c r="E1202" i="3"/>
  <c r="B1202" i="3"/>
  <c r="U1201" i="3"/>
  <c r="K1201" i="3"/>
  <c r="E1201" i="3"/>
  <c r="B1201" i="3"/>
  <c r="U1200" i="3"/>
  <c r="K1200" i="3"/>
  <c r="E1200" i="3"/>
  <c r="B1200" i="3"/>
  <c r="U1199" i="3"/>
  <c r="K1199" i="3"/>
  <c r="E1199" i="3"/>
  <c r="B1199" i="3"/>
  <c r="U1198" i="3"/>
  <c r="K1198" i="3"/>
  <c r="E1198" i="3"/>
  <c r="B1198" i="3"/>
  <c r="U1197" i="3"/>
  <c r="K1197" i="3"/>
  <c r="E1197" i="3"/>
  <c r="B1197" i="3"/>
  <c r="U1196" i="3"/>
  <c r="K1196" i="3"/>
  <c r="E1196" i="3"/>
  <c r="B1196" i="3"/>
  <c r="U1195" i="3"/>
  <c r="K1195" i="3"/>
  <c r="E1195" i="3"/>
  <c r="B1195" i="3"/>
  <c r="U1194" i="3"/>
  <c r="K1194" i="3"/>
  <c r="E1194" i="3"/>
  <c r="B1194" i="3"/>
  <c r="U1193" i="3"/>
  <c r="K1193" i="3"/>
  <c r="E1193" i="3"/>
  <c r="B1193" i="3"/>
  <c r="U1192" i="3"/>
  <c r="K1192" i="3"/>
  <c r="E1192" i="3"/>
  <c r="B1192" i="3"/>
  <c r="U1191" i="3"/>
  <c r="K1191" i="3"/>
  <c r="E1191" i="3"/>
  <c r="B1191" i="3"/>
  <c r="U1190" i="3"/>
  <c r="K1190" i="3"/>
  <c r="E1190" i="3"/>
  <c r="B1190" i="3"/>
  <c r="U1189" i="3"/>
  <c r="K1189" i="3"/>
  <c r="E1189" i="3"/>
  <c r="B1189" i="3"/>
  <c r="U1188" i="3"/>
  <c r="K1188" i="3"/>
  <c r="E1188" i="3"/>
  <c r="B1188" i="3"/>
  <c r="U1187" i="3"/>
  <c r="K1187" i="3"/>
  <c r="E1187" i="3"/>
  <c r="B1187" i="3"/>
  <c r="U1186" i="3"/>
  <c r="K1186" i="3"/>
  <c r="E1186" i="3"/>
  <c r="B1186" i="3"/>
  <c r="U1185" i="3"/>
  <c r="K1185" i="3"/>
  <c r="E1185" i="3"/>
  <c r="B1185" i="3"/>
  <c r="U1184" i="3"/>
  <c r="K1184" i="3"/>
  <c r="E1184" i="3"/>
  <c r="B1184" i="3"/>
  <c r="U1183" i="3"/>
  <c r="K1183" i="3"/>
  <c r="E1183" i="3"/>
  <c r="B1183" i="3"/>
  <c r="U1182" i="3"/>
  <c r="K1182" i="3"/>
  <c r="E1182" i="3"/>
  <c r="B1182" i="3"/>
  <c r="U1181" i="3"/>
  <c r="K1181" i="3"/>
  <c r="E1181" i="3"/>
  <c r="B1181" i="3"/>
  <c r="U1180" i="3"/>
  <c r="K1180" i="3"/>
  <c r="E1180" i="3"/>
  <c r="B1180" i="3"/>
  <c r="U1179" i="3"/>
  <c r="K1179" i="3"/>
  <c r="E1179" i="3"/>
  <c r="B1179" i="3"/>
  <c r="U1178" i="3"/>
  <c r="K1178" i="3"/>
  <c r="E1178" i="3"/>
  <c r="B1178" i="3"/>
  <c r="U1177" i="3"/>
  <c r="K1177" i="3"/>
  <c r="E1177" i="3"/>
  <c r="B1177" i="3"/>
  <c r="U1176" i="3"/>
  <c r="K1176" i="3"/>
  <c r="E1176" i="3"/>
  <c r="B1176" i="3"/>
  <c r="U1175" i="3"/>
  <c r="K1175" i="3"/>
  <c r="E1175" i="3"/>
  <c r="B1175" i="3"/>
  <c r="U1174" i="3"/>
  <c r="K1174" i="3"/>
  <c r="E1174" i="3"/>
  <c r="B1174" i="3"/>
  <c r="U1173" i="3"/>
  <c r="K1173" i="3"/>
  <c r="E1173" i="3"/>
  <c r="B1173" i="3"/>
  <c r="U1172" i="3"/>
  <c r="K1172" i="3"/>
  <c r="E1172" i="3"/>
  <c r="B1172" i="3"/>
  <c r="U1171" i="3"/>
  <c r="K1171" i="3"/>
  <c r="E1171" i="3"/>
  <c r="B1171" i="3"/>
  <c r="U1170" i="3"/>
  <c r="K1170" i="3"/>
  <c r="E1170" i="3"/>
  <c r="B1170" i="3"/>
  <c r="U1169" i="3"/>
  <c r="K1169" i="3"/>
  <c r="E1169" i="3"/>
  <c r="B1169" i="3"/>
  <c r="U1168" i="3"/>
  <c r="K1168" i="3"/>
  <c r="E1168" i="3"/>
  <c r="B1168" i="3"/>
  <c r="U1167" i="3"/>
  <c r="K1167" i="3"/>
  <c r="E1167" i="3"/>
  <c r="B1167" i="3"/>
  <c r="U1166" i="3"/>
  <c r="K1166" i="3"/>
  <c r="E1166" i="3"/>
  <c r="B1166" i="3"/>
  <c r="U1165" i="3"/>
  <c r="K1165" i="3"/>
  <c r="E1165" i="3"/>
  <c r="B1165" i="3"/>
  <c r="U1164" i="3"/>
  <c r="K1164" i="3"/>
  <c r="E1164" i="3"/>
  <c r="B1164" i="3"/>
  <c r="U1163" i="3"/>
  <c r="K1163" i="3"/>
  <c r="E1163" i="3"/>
  <c r="B1163" i="3"/>
  <c r="U1162" i="3"/>
  <c r="K1162" i="3"/>
  <c r="E1162" i="3"/>
  <c r="B1162" i="3"/>
  <c r="U1161" i="3"/>
  <c r="K1161" i="3"/>
  <c r="E1161" i="3"/>
  <c r="B1161" i="3"/>
  <c r="U1160" i="3"/>
  <c r="K1160" i="3"/>
  <c r="E1160" i="3"/>
  <c r="B1160" i="3"/>
  <c r="U1159" i="3"/>
  <c r="K1159" i="3"/>
  <c r="E1159" i="3"/>
  <c r="B1159" i="3"/>
  <c r="U1158" i="3"/>
  <c r="K1158" i="3"/>
  <c r="E1158" i="3"/>
  <c r="B1158" i="3"/>
  <c r="U1157" i="3"/>
  <c r="K1157" i="3"/>
  <c r="E1157" i="3"/>
  <c r="B1157" i="3"/>
  <c r="U1156" i="3"/>
  <c r="K1156" i="3"/>
  <c r="E1156" i="3"/>
  <c r="B1156" i="3"/>
  <c r="U1155" i="3"/>
  <c r="K1155" i="3"/>
  <c r="E1155" i="3"/>
  <c r="B1155" i="3"/>
  <c r="U1154" i="3"/>
  <c r="K1154" i="3"/>
  <c r="E1154" i="3"/>
  <c r="B1154" i="3"/>
  <c r="U1153" i="3"/>
  <c r="K1153" i="3"/>
  <c r="E1153" i="3"/>
  <c r="B1153" i="3"/>
  <c r="U1152" i="3"/>
  <c r="K1152" i="3"/>
  <c r="E1152" i="3"/>
  <c r="B1152" i="3"/>
  <c r="U1151" i="3"/>
  <c r="K1151" i="3"/>
  <c r="E1151" i="3"/>
  <c r="B1151" i="3"/>
  <c r="U1150" i="3"/>
  <c r="K1150" i="3"/>
  <c r="E1150" i="3"/>
  <c r="B1150" i="3"/>
  <c r="U1149" i="3"/>
  <c r="K1149" i="3"/>
  <c r="E1149" i="3"/>
  <c r="B1149" i="3"/>
  <c r="U1148" i="3"/>
  <c r="K1148" i="3"/>
  <c r="E1148" i="3"/>
  <c r="B1148" i="3"/>
  <c r="U1147" i="3"/>
  <c r="K1147" i="3"/>
  <c r="E1147" i="3"/>
  <c r="B1147" i="3"/>
  <c r="U1146" i="3"/>
  <c r="K1146" i="3"/>
  <c r="E1146" i="3"/>
  <c r="B1146" i="3"/>
  <c r="U1145" i="3"/>
  <c r="K1145" i="3"/>
  <c r="E1145" i="3"/>
  <c r="B1145" i="3"/>
  <c r="U1144" i="3"/>
  <c r="K1144" i="3"/>
  <c r="E1144" i="3"/>
  <c r="B1144" i="3"/>
  <c r="U1143" i="3"/>
  <c r="K1143" i="3"/>
  <c r="E1143" i="3"/>
  <c r="B1143" i="3"/>
  <c r="U1142" i="3"/>
  <c r="K1142" i="3"/>
  <c r="E1142" i="3"/>
  <c r="B1142" i="3"/>
  <c r="U1141" i="3"/>
  <c r="K1141" i="3"/>
  <c r="E1141" i="3"/>
  <c r="B1141" i="3"/>
  <c r="U1140" i="3"/>
  <c r="K1140" i="3"/>
  <c r="E1140" i="3"/>
  <c r="B1140" i="3"/>
  <c r="U1139" i="3"/>
  <c r="K1139" i="3"/>
  <c r="E1139" i="3"/>
  <c r="B1139" i="3"/>
  <c r="U1138" i="3"/>
  <c r="K1138" i="3"/>
  <c r="E1138" i="3"/>
  <c r="B1138" i="3"/>
  <c r="U1137" i="3"/>
  <c r="K1137" i="3"/>
  <c r="E1137" i="3"/>
  <c r="B1137" i="3"/>
  <c r="U1136" i="3"/>
  <c r="K1136" i="3"/>
  <c r="E1136" i="3"/>
  <c r="B1136" i="3"/>
  <c r="U1135" i="3"/>
  <c r="K1135" i="3"/>
  <c r="E1135" i="3"/>
  <c r="B1135" i="3"/>
  <c r="U1134" i="3"/>
  <c r="K1134" i="3"/>
  <c r="E1134" i="3"/>
  <c r="B1134" i="3"/>
  <c r="U1133" i="3"/>
  <c r="K1133" i="3"/>
  <c r="E1133" i="3"/>
  <c r="B1133" i="3"/>
  <c r="U1132" i="3"/>
  <c r="K1132" i="3"/>
  <c r="E1132" i="3"/>
  <c r="B1132" i="3"/>
  <c r="U1131" i="3"/>
  <c r="K1131" i="3"/>
  <c r="E1131" i="3"/>
  <c r="B1131" i="3"/>
  <c r="K1130" i="3"/>
  <c r="E1130" i="3"/>
  <c r="B1130" i="3"/>
  <c r="K1129" i="3"/>
  <c r="E1129" i="3"/>
  <c r="B1129" i="3"/>
  <c r="U1128" i="3"/>
  <c r="K1128" i="3"/>
  <c r="E1128" i="3"/>
  <c r="B1128" i="3"/>
  <c r="U1127" i="3"/>
  <c r="K1127" i="3"/>
  <c r="E1127" i="3"/>
  <c r="B1127" i="3"/>
  <c r="U1126" i="3"/>
  <c r="K1126" i="3"/>
  <c r="E1126" i="3"/>
  <c r="B1126" i="3"/>
  <c r="U1125" i="3"/>
  <c r="K1125" i="3"/>
  <c r="E1125" i="3"/>
  <c r="B1125" i="3"/>
  <c r="U1124" i="3"/>
  <c r="K1124" i="3"/>
  <c r="E1124" i="3"/>
  <c r="B1124" i="3"/>
  <c r="U1123" i="3"/>
  <c r="K1123" i="3"/>
  <c r="E1123" i="3"/>
  <c r="B1123" i="3"/>
  <c r="U1122" i="3"/>
  <c r="K1122" i="3"/>
  <c r="E1122" i="3"/>
  <c r="B1122" i="3"/>
  <c r="U1121" i="3"/>
  <c r="K1121" i="3"/>
  <c r="E1121" i="3"/>
  <c r="B1121" i="3"/>
  <c r="U1120" i="3"/>
  <c r="K1120" i="3"/>
  <c r="E1120" i="3"/>
  <c r="B1120" i="3"/>
  <c r="U1119" i="3"/>
  <c r="K1119" i="3"/>
  <c r="E1119" i="3"/>
  <c r="B1119" i="3"/>
  <c r="U1118" i="3"/>
  <c r="K1118" i="3"/>
  <c r="E1118" i="3"/>
  <c r="B1118" i="3"/>
  <c r="U1117" i="3"/>
  <c r="K1117" i="3"/>
  <c r="E1117" i="3"/>
  <c r="B1117" i="3"/>
  <c r="U1116" i="3"/>
  <c r="K1116" i="3"/>
  <c r="E1116" i="3"/>
  <c r="B1116" i="3"/>
  <c r="U1115" i="3"/>
  <c r="K1115" i="3"/>
  <c r="E1115" i="3"/>
  <c r="B1115" i="3"/>
  <c r="U1114" i="3"/>
  <c r="K1114" i="3"/>
  <c r="E1114" i="3"/>
  <c r="B1114" i="3"/>
  <c r="U1113" i="3"/>
  <c r="K1113" i="3"/>
  <c r="E1113" i="3"/>
  <c r="B1113" i="3"/>
  <c r="U1112" i="3"/>
  <c r="K1112" i="3"/>
  <c r="E1112" i="3"/>
  <c r="B1112" i="3"/>
  <c r="U1111" i="3"/>
  <c r="K1111" i="3"/>
  <c r="E1111" i="3"/>
  <c r="B1111" i="3"/>
  <c r="U1110" i="3"/>
  <c r="K1110" i="3"/>
  <c r="E1110" i="3"/>
  <c r="B1110" i="3"/>
  <c r="U1109" i="3"/>
  <c r="K1109" i="3"/>
  <c r="E1109" i="3"/>
  <c r="B1109" i="3"/>
  <c r="U1108" i="3"/>
  <c r="K1108" i="3"/>
  <c r="E1108" i="3"/>
  <c r="B1108" i="3"/>
  <c r="U1107" i="3"/>
  <c r="K1107" i="3"/>
  <c r="E1107" i="3"/>
  <c r="B1107" i="3"/>
  <c r="U1106" i="3"/>
  <c r="K1106" i="3"/>
  <c r="E1106" i="3"/>
  <c r="B1106" i="3"/>
  <c r="U1105" i="3"/>
  <c r="K1105" i="3"/>
  <c r="E1105" i="3"/>
  <c r="B1105" i="3"/>
  <c r="U1104" i="3"/>
  <c r="K1104" i="3"/>
  <c r="E1104" i="3"/>
  <c r="B1104" i="3"/>
  <c r="U1103" i="3"/>
  <c r="K1103" i="3"/>
  <c r="E1103" i="3"/>
  <c r="B1103" i="3"/>
  <c r="U1102" i="3"/>
  <c r="K1102" i="3"/>
  <c r="E1102" i="3"/>
  <c r="B1102" i="3"/>
  <c r="U1101" i="3"/>
  <c r="K1101" i="3"/>
  <c r="E1101" i="3"/>
  <c r="B1101" i="3"/>
  <c r="U1100" i="3"/>
  <c r="K1100" i="3"/>
  <c r="E1100" i="3"/>
  <c r="B1100" i="3"/>
  <c r="U1099" i="3"/>
  <c r="K1099" i="3"/>
  <c r="E1099" i="3"/>
  <c r="B1099" i="3"/>
  <c r="U1098" i="3"/>
  <c r="K1098" i="3"/>
  <c r="E1098" i="3"/>
  <c r="B1098" i="3"/>
  <c r="U1097" i="3"/>
  <c r="K1097" i="3"/>
  <c r="E1097" i="3"/>
  <c r="B1097" i="3"/>
  <c r="U1096" i="3"/>
  <c r="K1096" i="3"/>
  <c r="E1096" i="3"/>
  <c r="B1096" i="3"/>
  <c r="U1095" i="3"/>
  <c r="K1095" i="3"/>
  <c r="E1095" i="3"/>
  <c r="B1095" i="3"/>
  <c r="U1094" i="3"/>
  <c r="K1094" i="3"/>
  <c r="E1094" i="3"/>
  <c r="B1094" i="3"/>
  <c r="U1093" i="3"/>
  <c r="K1093" i="3"/>
  <c r="E1093" i="3"/>
  <c r="B1093" i="3"/>
  <c r="U1092" i="3"/>
  <c r="K1092" i="3"/>
  <c r="E1092" i="3"/>
  <c r="B1092" i="3"/>
  <c r="U1091" i="3"/>
  <c r="K1091" i="3"/>
  <c r="E1091" i="3"/>
  <c r="B1091" i="3"/>
  <c r="U1090" i="3"/>
  <c r="K1090" i="3"/>
  <c r="E1090" i="3"/>
  <c r="B1090" i="3"/>
  <c r="U1089" i="3"/>
  <c r="K1089" i="3"/>
  <c r="E1089" i="3"/>
  <c r="B1089" i="3"/>
  <c r="U1088" i="3"/>
  <c r="K1088" i="3"/>
  <c r="E1088" i="3"/>
  <c r="B1088" i="3"/>
  <c r="U1087" i="3"/>
  <c r="K1087" i="3"/>
  <c r="E1087" i="3"/>
  <c r="B1087" i="3"/>
  <c r="U1086" i="3"/>
  <c r="K1086" i="3"/>
  <c r="E1086" i="3"/>
  <c r="B1086" i="3"/>
  <c r="U1085" i="3"/>
  <c r="K1085" i="3"/>
  <c r="E1085" i="3"/>
  <c r="B1085" i="3"/>
  <c r="U1084" i="3"/>
  <c r="K1084" i="3"/>
  <c r="E1084" i="3"/>
  <c r="B1084" i="3"/>
  <c r="U1083" i="3"/>
  <c r="K1083" i="3"/>
  <c r="E1083" i="3"/>
  <c r="B1083" i="3"/>
  <c r="U1082" i="3"/>
  <c r="K1082" i="3"/>
  <c r="E1082" i="3"/>
  <c r="B1082" i="3"/>
  <c r="U1081" i="3"/>
  <c r="K1081" i="3"/>
  <c r="E1081" i="3"/>
  <c r="B1081" i="3"/>
  <c r="U1080" i="3"/>
  <c r="K1080" i="3"/>
  <c r="E1080" i="3"/>
  <c r="B1080" i="3"/>
  <c r="U1079" i="3"/>
  <c r="K1079" i="3"/>
  <c r="E1079" i="3"/>
  <c r="B1079" i="3"/>
  <c r="U1078" i="3"/>
  <c r="K1078" i="3"/>
  <c r="E1078" i="3"/>
  <c r="B1078" i="3"/>
  <c r="U1077" i="3"/>
  <c r="K1077" i="3"/>
  <c r="E1077" i="3"/>
  <c r="B1077" i="3"/>
  <c r="U1076" i="3"/>
  <c r="K1076" i="3"/>
  <c r="E1076" i="3"/>
  <c r="B1076" i="3"/>
  <c r="U1075" i="3"/>
  <c r="K1075" i="3"/>
  <c r="E1075" i="3"/>
  <c r="B1075" i="3"/>
  <c r="U1074" i="3"/>
  <c r="K1074" i="3"/>
  <c r="E1074" i="3"/>
  <c r="B1074" i="3"/>
  <c r="U1073" i="3"/>
  <c r="K1073" i="3"/>
  <c r="E1073" i="3"/>
  <c r="B1073" i="3"/>
  <c r="U1072" i="3"/>
  <c r="K1072" i="3"/>
  <c r="E1072" i="3"/>
  <c r="B1072" i="3"/>
  <c r="U1071" i="3"/>
  <c r="K1071" i="3"/>
  <c r="E1071" i="3"/>
  <c r="B1071" i="3"/>
  <c r="U1070" i="3"/>
  <c r="K1070" i="3"/>
  <c r="E1070" i="3"/>
  <c r="B1070" i="3"/>
  <c r="U1069" i="3"/>
  <c r="K1069" i="3"/>
  <c r="E1069" i="3"/>
  <c r="B1069" i="3"/>
  <c r="U1068" i="3"/>
  <c r="K1068" i="3"/>
  <c r="E1068" i="3"/>
  <c r="B1068" i="3"/>
  <c r="U1067" i="3"/>
  <c r="K1067" i="3"/>
  <c r="E1067" i="3"/>
  <c r="B1067" i="3"/>
  <c r="U1066" i="3"/>
  <c r="K1066" i="3"/>
  <c r="E1066" i="3"/>
  <c r="B1066" i="3"/>
  <c r="U1065" i="3"/>
  <c r="K1065" i="3"/>
  <c r="E1065" i="3"/>
  <c r="B1065" i="3"/>
  <c r="U1064" i="3"/>
  <c r="K1064" i="3"/>
  <c r="E1064" i="3"/>
  <c r="B1064" i="3"/>
  <c r="U1063" i="3"/>
  <c r="K1063" i="3"/>
  <c r="E1063" i="3"/>
  <c r="B1063" i="3"/>
  <c r="K1062" i="3"/>
  <c r="E1062" i="3"/>
  <c r="B1062" i="3"/>
  <c r="U1061" i="3"/>
  <c r="K1061" i="3"/>
  <c r="E1061" i="3"/>
  <c r="B1061" i="3"/>
  <c r="U1060" i="3"/>
  <c r="K1060" i="3"/>
  <c r="E1060" i="3"/>
  <c r="B1060" i="3"/>
  <c r="U1059" i="3"/>
  <c r="K1059" i="3"/>
  <c r="E1059" i="3"/>
  <c r="B1059" i="3"/>
  <c r="U1058" i="3"/>
  <c r="K1058" i="3"/>
  <c r="E1058" i="3"/>
  <c r="B1058" i="3"/>
  <c r="U1057" i="3"/>
  <c r="K1057" i="3"/>
  <c r="E1057" i="3"/>
  <c r="B1057" i="3"/>
  <c r="U1056" i="3"/>
  <c r="K1056" i="3"/>
  <c r="E1056" i="3"/>
  <c r="B1056" i="3"/>
  <c r="U1055" i="3"/>
  <c r="K1055" i="3"/>
  <c r="E1055" i="3"/>
  <c r="B1055" i="3"/>
  <c r="U1054" i="3"/>
  <c r="K1054" i="3"/>
  <c r="E1054" i="3"/>
  <c r="B1054" i="3"/>
  <c r="U1053" i="3"/>
  <c r="K1053" i="3"/>
  <c r="E1053" i="3"/>
  <c r="B1053" i="3"/>
  <c r="K1052" i="3"/>
  <c r="E1052" i="3"/>
  <c r="B1052" i="3"/>
  <c r="U1051" i="3"/>
  <c r="K1051" i="3"/>
  <c r="E1051" i="3"/>
  <c r="B1051" i="3"/>
  <c r="U1050" i="3"/>
  <c r="K1050" i="3"/>
  <c r="E1050" i="3"/>
  <c r="B1050" i="3"/>
  <c r="U1049" i="3"/>
  <c r="K1049" i="3"/>
  <c r="E1049" i="3"/>
  <c r="B1049" i="3"/>
  <c r="U1048" i="3"/>
  <c r="K1048" i="3"/>
  <c r="E1048" i="3"/>
  <c r="B1048" i="3"/>
  <c r="U1047" i="3"/>
  <c r="K1047" i="3"/>
  <c r="E1047" i="3"/>
  <c r="B1047" i="3"/>
  <c r="U1046" i="3"/>
  <c r="K1046" i="3"/>
  <c r="E1046" i="3"/>
  <c r="B1046" i="3"/>
  <c r="U1045" i="3"/>
  <c r="K1045" i="3"/>
  <c r="E1045" i="3"/>
  <c r="B1045" i="3"/>
  <c r="U1044" i="3"/>
  <c r="K1044" i="3"/>
  <c r="E1044" i="3"/>
  <c r="B1044" i="3"/>
  <c r="U1043" i="3"/>
  <c r="K1043" i="3"/>
  <c r="E1043" i="3"/>
  <c r="B1043" i="3"/>
  <c r="U1042" i="3"/>
  <c r="K1042" i="3"/>
  <c r="E1042" i="3"/>
  <c r="B1042" i="3"/>
  <c r="U1041" i="3"/>
  <c r="K1041" i="3"/>
  <c r="E1041" i="3"/>
  <c r="B1041" i="3"/>
  <c r="U1040" i="3"/>
  <c r="K1040" i="3"/>
  <c r="E1040" i="3"/>
  <c r="B1040" i="3"/>
  <c r="U1039" i="3"/>
  <c r="K1039" i="3"/>
  <c r="E1039" i="3"/>
  <c r="B1039" i="3"/>
  <c r="U1038" i="3"/>
  <c r="K1038" i="3"/>
  <c r="E1038" i="3"/>
  <c r="B1038" i="3"/>
  <c r="U1037" i="3"/>
  <c r="K1037" i="3"/>
  <c r="E1037" i="3"/>
  <c r="B1037" i="3"/>
  <c r="U1036" i="3"/>
  <c r="K1036" i="3"/>
  <c r="E1036" i="3"/>
  <c r="B1036" i="3"/>
  <c r="U1035" i="3"/>
  <c r="K1035" i="3"/>
  <c r="E1035" i="3"/>
  <c r="B1035" i="3"/>
  <c r="U1034" i="3"/>
  <c r="K1034" i="3"/>
  <c r="E1034" i="3"/>
  <c r="B1034" i="3"/>
  <c r="U1033" i="3"/>
  <c r="K1033" i="3"/>
  <c r="E1033" i="3"/>
  <c r="B1033" i="3"/>
  <c r="U1032" i="3"/>
  <c r="K1032" i="3"/>
  <c r="E1032" i="3"/>
  <c r="B1032" i="3"/>
  <c r="U1031" i="3"/>
  <c r="K1031" i="3"/>
  <c r="E1031" i="3"/>
  <c r="B1031" i="3"/>
  <c r="U1030" i="3"/>
  <c r="K1030" i="3"/>
  <c r="E1030" i="3"/>
  <c r="B1030" i="3"/>
  <c r="U1029" i="3"/>
  <c r="K1029" i="3"/>
  <c r="E1029" i="3"/>
  <c r="B1029" i="3"/>
  <c r="U1028" i="3"/>
  <c r="K1028" i="3"/>
  <c r="E1028" i="3"/>
  <c r="B1028" i="3"/>
  <c r="U1027" i="3"/>
  <c r="K1027" i="3"/>
  <c r="E1027" i="3"/>
  <c r="B1027" i="3"/>
  <c r="U1026" i="3"/>
  <c r="K1026" i="3"/>
  <c r="E1026" i="3"/>
  <c r="B1026" i="3"/>
  <c r="U1025" i="3"/>
  <c r="K1025" i="3"/>
  <c r="E1025" i="3"/>
  <c r="B1025" i="3"/>
  <c r="U1024" i="3"/>
  <c r="K1024" i="3"/>
  <c r="E1024" i="3"/>
  <c r="B1024" i="3"/>
  <c r="U1023" i="3"/>
  <c r="K1023" i="3"/>
  <c r="E1023" i="3"/>
  <c r="B1023" i="3"/>
  <c r="U1022" i="3"/>
  <c r="K1022" i="3"/>
  <c r="E1022" i="3"/>
  <c r="B1022" i="3"/>
  <c r="U1021" i="3"/>
  <c r="K1021" i="3"/>
  <c r="E1021" i="3"/>
  <c r="B1021" i="3"/>
  <c r="U1020" i="3"/>
  <c r="K1020" i="3"/>
  <c r="E1020" i="3"/>
  <c r="B1020" i="3"/>
  <c r="U1019" i="3"/>
  <c r="K1019" i="3"/>
  <c r="E1019" i="3"/>
  <c r="B1019" i="3"/>
  <c r="U1018" i="3"/>
  <c r="K1018" i="3"/>
  <c r="E1018" i="3"/>
  <c r="B1018" i="3"/>
  <c r="U1017" i="3"/>
  <c r="K1017" i="3"/>
  <c r="E1017" i="3"/>
  <c r="B1017" i="3"/>
  <c r="U1016" i="3"/>
  <c r="K1016" i="3"/>
  <c r="E1016" i="3"/>
  <c r="B1016" i="3"/>
  <c r="U1015" i="3"/>
  <c r="K1015" i="3"/>
  <c r="E1015" i="3"/>
  <c r="B1015" i="3"/>
  <c r="U1014" i="3"/>
  <c r="K1014" i="3"/>
  <c r="E1014" i="3"/>
  <c r="B1014" i="3"/>
  <c r="U1013" i="3"/>
  <c r="K1013" i="3"/>
  <c r="E1013" i="3"/>
  <c r="B1013" i="3"/>
  <c r="U1012" i="3"/>
  <c r="K1012" i="3"/>
  <c r="E1012" i="3"/>
  <c r="B1012" i="3"/>
  <c r="U1011" i="3"/>
  <c r="K1011" i="3"/>
  <c r="E1011" i="3"/>
  <c r="B1011" i="3"/>
  <c r="U1010" i="3"/>
  <c r="K1010" i="3"/>
  <c r="E1010" i="3"/>
  <c r="B1010" i="3"/>
  <c r="U1009" i="3"/>
  <c r="K1009" i="3"/>
  <c r="E1009" i="3"/>
  <c r="B1009" i="3"/>
  <c r="U1008" i="3"/>
  <c r="K1008" i="3"/>
  <c r="E1008" i="3"/>
  <c r="B1008" i="3"/>
  <c r="U1007" i="3"/>
  <c r="K1007" i="3"/>
  <c r="E1007" i="3"/>
  <c r="B1007" i="3"/>
  <c r="U1006" i="3"/>
  <c r="K1006" i="3"/>
  <c r="E1006" i="3"/>
  <c r="B1006" i="3"/>
  <c r="U1005" i="3"/>
  <c r="K1005" i="3"/>
  <c r="E1005" i="3"/>
  <c r="B1005" i="3"/>
  <c r="U1004" i="3"/>
  <c r="K1004" i="3"/>
  <c r="E1004" i="3"/>
  <c r="B1004" i="3"/>
  <c r="U1003" i="3"/>
  <c r="K1003" i="3"/>
  <c r="E1003" i="3"/>
  <c r="B1003" i="3"/>
  <c r="U1002" i="3"/>
  <c r="K1002" i="3"/>
  <c r="E1002" i="3"/>
  <c r="B1002" i="3"/>
  <c r="U1001" i="3"/>
  <c r="K1001" i="3"/>
  <c r="E1001" i="3"/>
  <c r="B1001" i="3"/>
  <c r="U1000" i="3"/>
  <c r="K1000" i="3"/>
  <c r="E1000" i="3"/>
  <c r="B1000" i="3"/>
  <c r="U999" i="3"/>
  <c r="K999" i="3"/>
  <c r="E999" i="3"/>
  <c r="B999" i="3"/>
  <c r="U998" i="3"/>
  <c r="K998" i="3"/>
  <c r="E998" i="3"/>
  <c r="B998" i="3"/>
  <c r="U997" i="3"/>
  <c r="K997" i="3"/>
  <c r="E997" i="3"/>
  <c r="B997" i="3"/>
  <c r="U996" i="3"/>
  <c r="K996" i="3"/>
  <c r="E996" i="3"/>
  <c r="B996" i="3"/>
  <c r="U995" i="3"/>
  <c r="K995" i="3"/>
  <c r="E995" i="3"/>
  <c r="B995" i="3"/>
  <c r="U994" i="3"/>
  <c r="K994" i="3"/>
  <c r="E994" i="3"/>
  <c r="B994" i="3"/>
  <c r="U993" i="3"/>
  <c r="K993" i="3"/>
  <c r="E993" i="3"/>
  <c r="B993" i="3"/>
  <c r="U992" i="3"/>
  <c r="K992" i="3"/>
  <c r="E992" i="3"/>
  <c r="B992" i="3"/>
  <c r="U991" i="3"/>
  <c r="K991" i="3"/>
  <c r="E991" i="3"/>
  <c r="B991" i="3"/>
  <c r="U990" i="3"/>
  <c r="K990" i="3"/>
  <c r="E990" i="3"/>
  <c r="B990" i="3"/>
  <c r="U989" i="3"/>
  <c r="K989" i="3"/>
  <c r="E989" i="3"/>
  <c r="B989" i="3"/>
  <c r="U988" i="3"/>
  <c r="K988" i="3"/>
  <c r="E988" i="3"/>
  <c r="B988" i="3"/>
  <c r="U987" i="3"/>
  <c r="K987" i="3"/>
  <c r="E987" i="3"/>
  <c r="B987" i="3"/>
  <c r="U986" i="3"/>
  <c r="K986" i="3"/>
  <c r="E986" i="3"/>
  <c r="B986" i="3"/>
  <c r="U985" i="3"/>
  <c r="K985" i="3"/>
  <c r="E985" i="3"/>
  <c r="B985" i="3"/>
  <c r="U984" i="3"/>
  <c r="K984" i="3"/>
  <c r="E984" i="3"/>
  <c r="B984" i="3"/>
  <c r="U983" i="3"/>
  <c r="K983" i="3"/>
  <c r="E983" i="3"/>
  <c r="B983" i="3"/>
  <c r="U982" i="3"/>
  <c r="K982" i="3"/>
  <c r="E982" i="3"/>
  <c r="B982" i="3"/>
  <c r="U981" i="3"/>
  <c r="K981" i="3"/>
  <c r="E981" i="3"/>
  <c r="B981" i="3"/>
  <c r="U980" i="3"/>
  <c r="K980" i="3"/>
  <c r="E980" i="3"/>
  <c r="B980" i="3"/>
  <c r="U979" i="3"/>
  <c r="K979" i="3"/>
  <c r="E979" i="3"/>
  <c r="B979" i="3"/>
  <c r="U978" i="3"/>
  <c r="K978" i="3"/>
  <c r="E978" i="3"/>
  <c r="B978" i="3"/>
  <c r="U977" i="3"/>
  <c r="K977" i="3"/>
  <c r="E977" i="3"/>
  <c r="B977" i="3"/>
  <c r="U976" i="3"/>
  <c r="K976" i="3"/>
  <c r="E976" i="3"/>
  <c r="B976" i="3"/>
  <c r="U975" i="3"/>
  <c r="K975" i="3"/>
  <c r="E975" i="3"/>
  <c r="B975" i="3"/>
  <c r="U974" i="3"/>
  <c r="K974" i="3"/>
  <c r="E974" i="3"/>
  <c r="B974" i="3"/>
  <c r="U973" i="3"/>
  <c r="K973" i="3"/>
  <c r="E973" i="3"/>
  <c r="B973" i="3"/>
  <c r="U972" i="3"/>
  <c r="K972" i="3"/>
  <c r="E972" i="3"/>
  <c r="B972" i="3"/>
  <c r="U971" i="3"/>
  <c r="K971" i="3"/>
  <c r="E971" i="3"/>
  <c r="B971" i="3"/>
  <c r="U970" i="3"/>
  <c r="K970" i="3"/>
  <c r="E970" i="3"/>
  <c r="B970" i="3"/>
  <c r="U969" i="3"/>
  <c r="K969" i="3"/>
  <c r="E969" i="3"/>
  <c r="B969" i="3"/>
  <c r="U968" i="3"/>
  <c r="K968" i="3"/>
  <c r="E968" i="3"/>
  <c r="B968" i="3"/>
  <c r="U967" i="3"/>
  <c r="K967" i="3"/>
  <c r="E967" i="3"/>
  <c r="B967" i="3"/>
  <c r="U966" i="3"/>
  <c r="K966" i="3"/>
  <c r="E966" i="3"/>
  <c r="B966" i="3"/>
  <c r="U965" i="3"/>
  <c r="K965" i="3"/>
  <c r="E965" i="3"/>
  <c r="B965" i="3"/>
  <c r="U964" i="3"/>
  <c r="K964" i="3"/>
  <c r="E964" i="3"/>
  <c r="B964" i="3"/>
  <c r="U963" i="3"/>
  <c r="K963" i="3"/>
  <c r="E963" i="3"/>
  <c r="B963" i="3"/>
  <c r="U962" i="3"/>
  <c r="K962" i="3"/>
  <c r="E962" i="3"/>
  <c r="B962" i="3"/>
  <c r="U961" i="3"/>
  <c r="K961" i="3"/>
  <c r="E961" i="3"/>
  <c r="B961" i="3"/>
  <c r="U960" i="3"/>
  <c r="K960" i="3"/>
  <c r="E960" i="3"/>
  <c r="B960" i="3"/>
  <c r="U959" i="3"/>
  <c r="K959" i="3"/>
  <c r="E959" i="3"/>
  <c r="B959" i="3"/>
  <c r="U958" i="3"/>
  <c r="K958" i="3"/>
  <c r="E958" i="3"/>
  <c r="B958" i="3"/>
  <c r="U957" i="3"/>
  <c r="K957" i="3"/>
  <c r="E957" i="3"/>
  <c r="B957" i="3"/>
  <c r="U956" i="3"/>
  <c r="K956" i="3"/>
  <c r="E956" i="3"/>
  <c r="B956" i="3"/>
  <c r="U955" i="3"/>
  <c r="K955" i="3"/>
  <c r="E955" i="3"/>
  <c r="B955" i="3"/>
  <c r="U954" i="3"/>
  <c r="K954" i="3"/>
  <c r="E954" i="3"/>
  <c r="B954" i="3"/>
  <c r="U953" i="3"/>
  <c r="K953" i="3"/>
  <c r="E953" i="3"/>
  <c r="B953" i="3"/>
  <c r="U952" i="3"/>
  <c r="K952" i="3"/>
  <c r="E952" i="3"/>
  <c r="B952" i="3"/>
  <c r="U951" i="3"/>
  <c r="K951" i="3"/>
  <c r="E951" i="3"/>
  <c r="B951" i="3"/>
  <c r="U950" i="3"/>
  <c r="K950" i="3"/>
  <c r="E950" i="3"/>
  <c r="B950" i="3"/>
  <c r="U949" i="3"/>
  <c r="K949" i="3"/>
  <c r="E949" i="3"/>
  <c r="B949" i="3"/>
  <c r="U948" i="3"/>
  <c r="K948" i="3"/>
  <c r="E948" i="3"/>
  <c r="B948" i="3"/>
  <c r="U947" i="3"/>
  <c r="K947" i="3"/>
  <c r="E947" i="3"/>
  <c r="B947" i="3"/>
  <c r="U946" i="3"/>
  <c r="K946" i="3"/>
  <c r="E946" i="3"/>
  <c r="B946" i="3"/>
  <c r="U945" i="3"/>
  <c r="K945" i="3"/>
  <c r="E945" i="3"/>
  <c r="B945" i="3"/>
  <c r="U944" i="3"/>
  <c r="K944" i="3"/>
  <c r="E944" i="3"/>
  <c r="B944" i="3"/>
  <c r="U943" i="3"/>
  <c r="K943" i="3"/>
  <c r="E943" i="3"/>
  <c r="B943" i="3"/>
  <c r="U942" i="3"/>
  <c r="K942" i="3"/>
  <c r="E942" i="3"/>
  <c r="B942" i="3"/>
  <c r="U941" i="3"/>
  <c r="K941" i="3"/>
  <c r="E941" i="3"/>
  <c r="B941" i="3"/>
  <c r="U940" i="3"/>
  <c r="K940" i="3"/>
  <c r="E940" i="3"/>
  <c r="B940" i="3"/>
  <c r="U939" i="3"/>
  <c r="K939" i="3"/>
  <c r="E939" i="3"/>
  <c r="B939" i="3"/>
  <c r="U938" i="3"/>
  <c r="K938" i="3"/>
  <c r="E938" i="3"/>
  <c r="B938" i="3"/>
  <c r="U937" i="3"/>
  <c r="K937" i="3"/>
  <c r="E937" i="3"/>
  <c r="B937" i="3"/>
  <c r="U936" i="3"/>
  <c r="K936" i="3"/>
  <c r="E936" i="3"/>
  <c r="B936" i="3"/>
  <c r="U935" i="3"/>
  <c r="K935" i="3"/>
  <c r="E935" i="3"/>
  <c r="B935" i="3"/>
  <c r="U934" i="3"/>
  <c r="K934" i="3"/>
  <c r="E934" i="3"/>
  <c r="B934" i="3"/>
  <c r="U933" i="3"/>
  <c r="K933" i="3"/>
  <c r="E933" i="3"/>
  <c r="B933" i="3"/>
  <c r="U932" i="3"/>
  <c r="K932" i="3"/>
  <c r="E932" i="3"/>
  <c r="B932" i="3"/>
  <c r="U931" i="3"/>
  <c r="K931" i="3"/>
  <c r="E931" i="3"/>
  <c r="B931" i="3"/>
  <c r="U930" i="3"/>
  <c r="K930" i="3"/>
  <c r="E930" i="3"/>
  <c r="B930" i="3"/>
  <c r="U929" i="3"/>
  <c r="K929" i="3"/>
  <c r="E929" i="3"/>
  <c r="B929" i="3"/>
  <c r="U928" i="3"/>
  <c r="K928" i="3"/>
  <c r="E928" i="3"/>
  <c r="B928" i="3"/>
  <c r="U927" i="3"/>
  <c r="K927" i="3"/>
  <c r="E927" i="3"/>
  <c r="B927" i="3"/>
  <c r="U926" i="3"/>
  <c r="K926" i="3"/>
  <c r="E926" i="3"/>
  <c r="B926" i="3"/>
  <c r="U925" i="3"/>
  <c r="K925" i="3"/>
  <c r="E925" i="3"/>
  <c r="B925" i="3"/>
  <c r="U924" i="3"/>
  <c r="K924" i="3"/>
  <c r="E924" i="3"/>
  <c r="B924" i="3"/>
  <c r="U923" i="3"/>
  <c r="K923" i="3"/>
  <c r="E923" i="3"/>
  <c r="B923" i="3"/>
  <c r="U922" i="3"/>
  <c r="K922" i="3"/>
  <c r="E922" i="3"/>
  <c r="B922" i="3"/>
  <c r="U921" i="3"/>
  <c r="K921" i="3"/>
  <c r="E921" i="3"/>
  <c r="B921" i="3"/>
  <c r="U920" i="3"/>
  <c r="K920" i="3"/>
  <c r="E920" i="3"/>
  <c r="B920" i="3"/>
  <c r="U919" i="3"/>
  <c r="K919" i="3"/>
  <c r="E919" i="3"/>
  <c r="B919" i="3"/>
  <c r="U918" i="3"/>
  <c r="K918" i="3"/>
  <c r="E918" i="3"/>
  <c r="B918" i="3"/>
  <c r="U917" i="3"/>
  <c r="K917" i="3"/>
  <c r="E917" i="3"/>
  <c r="B917" i="3"/>
  <c r="U916" i="3"/>
  <c r="K916" i="3"/>
  <c r="E916" i="3"/>
  <c r="B916" i="3"/>
  <c r="U915" i="3"/>
  <c r="K915" i="3"/>
  <c r="E915" i="3"/>
  <c r="B915" i="3"/>
  <c r="U914" i="3"/>
  <c r="K914" i="3"/>
  <c r="E914" i="3"/>
  <c r="B914" i="3"/>
  <c r="K913" i="3"/>
  <c r="E913" i="3"/>
  <c r="B913" i="3"/>
  <c r="U912" i="3"/>
  <c r="K912" i="3"/>
  <c r="E912" i="3"/>
  <c r="B912" i="3"/>
  <c r="U911" i="3"/>
  <c r="K911" i="3"/>
  <c r="E911" i="3"/>
  <c r="B911" i="3"/>
  <c r="U910" i="3"/>
  <c r="K910" i="3"/>
  <c r="E910" i="3"/>
  <c r="B910" i="3"/>
  <c r="U909" i="3"/>
  <c r="K909" i="3"/>
  <c r="E909" i="3"/>
  <c r="B909" i="3"/>
  <c r="U908" i="3"/>
  <c r="K908" i="3"/>
  <c r="E908" i="3"/>
  <c r="B908" i="3"/>
  <c r="U907" i="3"/>
  <c r="K907" i="3"/>
  <c r="E907" i="3"/>
  <c r="B907" i="3"/>
  <c r="U906" i="3"/>
  <c r="K906" i="3"/>
  <c r="E906" i="3"/>
  <c r="B906" i="3"/>
  <c r="U905" i="3"/>
  <c r="K905" i="3"/>
  <c r="E905" i="3"/>
  <c r="B905" i="3"/>
  <c r="U904" i="3"/>
  <c r="K904" i="3"/>
  <c r="E904" i="3"/>
  <c r="B904" i="3"/>
  <c r="U903" i="3"/>
  <c r="K903" i="3"/>
  <c r="E903" i="3"/>
  <c r="B903" i="3"/>
  <c r="U902" i="3"/>
  <c r="K902" i="3"/>
  <c r="E902" i="3"/>
  <c r="B902" i="3"/>
  <c r="U901" i="3"/>
  <c r="K901" i="3"/>
  <c r="E901" i="3"/>
  <c r="B901" i="3"/>
  <c r="U900" i="3"/>
  <c r="K900" i="3"/>
  <c r="E900" i="3"/>
  <c r="B900" i="3"/>
  <c r="U899" i="3"/>
  <c r="K899" i="3"/>
  <c r="E899" i="3"/>
  <c r="B899" i="3"/>
  <c r="U898" i="3"/>
  <c r="K898" i="3"/>
  <c r="E898" i="3"/>
  <c r="B898" i="3"/>
  <c r="U897" i="3"/>
  <c r="K897" i="3"/>
  <c r="E897" i="3"/>
  <c r="B897" i="3"/>
  <c r="U896" i="3"/>
  <c r="K896" i="3"/>
  <c r="E896" i="3"/>
  <c r="B896" i="3"/>
  <c r="U895" i="3"/>
  <c r="K895" i="3"/>
  <c r="E895" i="3"/>
  <c r="B895" i="3"/>
  <c r="U894" i="3"/>
  <c r="K894" i="3"/>
  <c r="E894" i="3"/>
  <c r="B894" i="3"/>
  <c r="U893" i="3"/>
  <c r="K893" i="3"/>
  <c r="E893" i="3"/>
  <c r="B893" i="3"/>
  <c r="U892" i="3"/>
  <c r="K892" i="3"/>
  <c r="E892" i="3"/>
  <c r="B892" i="3"/>
  <c r="U891" i="3"/>
  <c r="K891" i="3"/>
  <c r="E891" i="3"/>
  <c r="B891" i="3"/>
  <c r="U890" i="3"/>
  <c r="K890" i="3"/>
  <c r="E890" i="3"/>
  <c r="B890" i="3"/>
  <c r="U889" i="3"/>
  <c r="K889" i="3"/>
  <c r="E889" i="3"/>
  <c r="B889" i="3"/>
  <c r="U888" i="3"/>
  <c r="K888" i="3"/>
  <c r="E888" i="3"/>
  <c r="B888" i="3"/>
  <c r="U887" i="3"/>
  <c r="K887" i="3"/>
  <c r="E887" i="3"/>
  <c r="B887" i="3"/>
  <c r="U886" i="3"/>
  <c r="K886" i="3"/>
  <c r="E886" i="3"/>
  <c r="B886" i="3"/>
  <c r="U885" i="3"/>
  <c r="K885" i="3"/>
  <c r="E885" i="3"/>
  <c r="B885" i="3"/>
  <c r="U884" i="3"/>
  <c r="K884" i="3"/>
  <c r="E884" i="3"/>
  <c r="B884" i="3"/>
  <c r="U883" i="3"/>
  <c r="K883" i="3"/>
  <c r="E883" i="3"/>
  <c r="B883" i="3"/>
  <c r="U882" i="3"/>
  <c r="K882" i="3"/>
  <c r="E882" i="3"/>
  <c r="B882" i="3"/>
  <c r="U881" i="3"/>
  <c r="K881" i="3"/>
  <c r="E881" i="3"/>
  <c r="B881" i="3"/>
  <c r="U880" i="3"/>
  <c r="K880" i="3"/>
  <c r="E880" i="3"/>
  <c r="B880" i="3"/>
  <c r="U879" i="3"/>
  <c r="K879" i="3"/>
  <c r="E879" i="3"/>
  <c r="B879" i="3"/>
  <c r="U878" i="3"/>
  <c r="K878" i="3"/>
  <c r="E878" i="3"/>
  <c r="B878" i="3"/>
  <c r="U877" i="3"/>
  <c r="K877" i="3"/>
  <c r="E877" i="3"/>
  <c r="B877" i="3"/>
  <c r="U876" i="3"/>
  <c r="K876" i="3"/>
  <c r="E876" i="3"/>
  <c r="B876" i="3"/>
  <c r="U875" i="3"/>
  <c r="K875" i="3"/>
  <c r="E875" i="3"/>
  <c r="B875" i="3"/>
  <c r="U874" i="3"/>
  <c r="K874" i="3"/>
  <c r="E874" i="3"/>
  <c r="B874" i="3"/>
  <c r="U873" i="3"/>
  <c r="K873" i="3"/>
  <c r="E873" i="3"/>
  <c r="B873" i="3"/>
  <c r="U872" i="3"/>
  <c r="K872" i="3"/>
  <c r="E872" i="3"/>
  <c r="B872" i="3"/>
  <c r="U871" i="3"/>
  <c r="K871" i="3"/>
  <c r="E871" i="3"/>
  <c r="B871" i="3"/>
  <c r="U870" i="3"/>
  <c r="K870" i="3"/>
  <c r="E870" i="3"/>
  <c r="B870" i="3"/>
  <c r="U869" i="3"/>
  <c r="K869" i="3"/>
  <c r="E869" i="3"/>
  <c r="B869" i="3"/>
  <c r="U868" i="3"/>
  <c r="K868" i="3"/>
  <c r="E868" i="3"/>
  <c r="B868" i="3"/>
  <c r="U867" i="3"/>
  <c r="K867" i="3"/>
  <c r="E867" i="3"/>
  <c r="B867" i="3"/>
  <c r="U866" i="3"/>
  <c r="K866" i="3"/>
  <c r="E866" i="3"/>
  <c r="B866" i="3"/>
  <c r="U865" i="3"/>
  <c r="K865" i="3"/>
  <c r="E865" i="3"/>
  <c r="B865" i="3"/>
  <c r="U864" i="3"/>
  <c r="K864" i="3"/>
  <c r="E864" i="3"/>
  <c r="B864" i="3"/>
  <c r="U863" i="3"/>
  <c r="K863" i="3"/>
  <c r="E863" i="3"/>
  <c r="B863" i="3"/>
  <c r="U862" i="3"/>
  <c r="K862" i="3"/>
  <c r="E862" i="3"/>
  <c r="B862" i="3"/>
  <c r="U861" i="3"/>
  <c r="K861" i="3"/>
  <c r="E861" i="3"/>
  <c r="B861" i="3"/>
  <c r="U860" i="3"/>
  <c r="K860" i="3"/>
  <c r="E860" i="3"/>
  <c r="B860" i="3"/>
  <c r="U859" i="3"/>
  <c r="K859" i="3"/>
  <c r="E859" i="3"/>
  <c r="B859" i="3"/>
  <c r="U858" i="3"/>
  <c r="K858" i="3"/>
  <c r="E858" i="3"/>
  <c r="B858" i="3"/>
  <c r="U857" i="3"/>
  <c r="K857" i="3"/>
  <c r="E857" i="3"/>
  <c r="B857" i="3"/>
  <c r="U856" i="3"/>
  <c r="K856" i="3"/>
  <c r="E856" i="3"/>
  <c r="B856" i="3"/>
  <c r="U855" i="3"/>
  <c r="K855" i="3"/>
  <c r="E855" i="3"/>
  <c r="B855" i="3"/>
  <c r="U854" i="3"/>
  <c r="K854" i="3"/>
  <c r="E854" i="3"/>
  <c r="B854" i="3"/>
  <c r="U853" i="3"/>
  <c r="K853" i="3"/>
  <c r="E853" i="3"/>
  <c r="B853" i="3"/>
  <c r="U852" i="3"/>
  <c r="K852" i="3"/>
  <c r="E852" i="3"/>
  <c r="B852" i="3"/>
  <c r="U851" i="3"/>
  <c r="K851" i="3"/>
  <c r="E851" i="3"/>
  <c r="B851" i="3"/>
  <c r="U850" i="3"/>
  <c r="K850" i="3"/>
  <c r="E850" i="3"/>
  <c r="B850" i="3"/>
  <c r="U849" i="3"/>
  <c r="K849" i="3"/>
  <c r="E849" i="3"/>
  <c r="B849" i="3"/>
  <c r="U848" i="3"/>
  <c r="K848" i="3"/>
  <c r="E848" i="3"/>
  <c r="B848" i="3"/>
  <c r="U847" i="3"/>
  <c r="K847" i="3"/>
  <c r="E847" i="3"/>
  <c r="B847" i="3"/>
  <c r="U846" i="3"/>
  <c r="K846" i="3"/>
  <c r="E846" i="3"/>
  <c r="B846" i="3"/>
  <c r="U845" i="3"/>
  <c r="K845" i="3"/>
  <c r="E845" i="3"/>
  <c r="B845" i="3"/>
  <c r="U844" i="3"/>
  <c r="K844" i="3"/>
  <c r="E844" i="3"/>
  <c r="B844" i="3"/>
  <c r="U843" i="3"/>
  <c r="K843" i="3"/>
  <c r="E843" i="3"/>
  <c r="B843" i="3"/>
  <c r="U842" i="3"/>
  <c r="K842" i="3"/>
  <c r="E842" i="3"/>
  <c r="B842" i="3"/>
  <c r="U841" i="3"/>
  <c r="K841" i="3"/>
  <c r="E841" i="3"/>
  <c r="B841" i="3"/>
  <c r="U840" i="3"/>
  <c r="K840" i="3"/>
  <c r="E840" i="3"/>
  <c r="B840" i="3"/>
  <c r="U839" i="3"/>
  <c r="K839" i="3"/>
  <c r="E839" i="3"/>
  <c r="B839" i="3"/>
  <c r="U838" i="3"/>
  <c r="K838" i="3"/>
  <c r="E838" i="3"/>
  <c r="B838" i="3"/>
  <c r="U837" i="3"/>
  <c r="K837" i="3"/>
  <c r="E837" i="3"/>
  <c r="B837" i="3"/>
  <c r="U836" i="3"/>
  <c r="K836" i="3"/>
  <c r="E836" i="3"/>
  <c r="B836" i="3"/>
  <c r="U835" i="3"/>
  <c r="K835" i="3"/>
  <c r="E835" i="3"/>
  <c r="B835" i="3"/>
  <c r="U834" i="3"/>
  <c r="K834" i="3"/>
  <c r="E834" i="3"/>
  <c r="B834" i="3"/>
  <c r="U833" i="3"/>
  <c r="K833" i="3"/>
  <c r="E833" i="3"/>
  <c r="B833" i="3"/>
  <c r="U832" i="3"/>
  <c r="K832" i="3"/>
  <c r="E832" i="3"/>
  <c r="B832" i="3"/>
  <c r="U831" i="3"/>
  <c r="K831" i="3"/>
  <c r="E831" i="3"/>
  <c r="B831" i="3"/>
  <c r="U830" i="3"/>
  <c r="K830" i="3"/>
  <c r="E830" i="3"/>
  <c r="B830" i="3"/>
  <c r="U829" i="3"/>
  <c r="K829" i="3"/>
  <c r="E829" i="3"/>
  <c r="B829" i="3"/>
  <c r="U828" i="3"/>
  <c r="K828" i="3"/>
  <c r="E828" i="3"/>
  <c r="B828" i="3"/>
  <c r="U827" i="3"/>
  <c r="K827" i="3"/>
  <c r="E827" i="3"/>
  <c r="B827" i="3"/>
  <c r="U826" i="3"/>
  <c r="K826" i="3"/>
  <c r="E826" i="3"/>
  <c r="B826" i="3"/>
  <c r="U825" i="3"/>
  <c r="K825" i="3"/>
  <c r="E825" i="3"/>
  <c r="B825" i="3"/>
  <c r="U824" i="3"/>
  <c r="K824" i="3"/>
  <c r="E824" i="3"/>
  <c r="B824" i="3"/>
  <c r="U823" i="3"/>
  <c r="K823" i="3"/>
  <c r="E823" i="3"/>
  <c r="B823" i="3"/>
  <c r="U822" i="3"/>
  <c r="K822" i="3"/>
  <c r="E822" i="3"/>
  <c r="B822" i="3"/>
  <c r="U821" i="3"/>
  <c r="K821" i="3"/>
  <c r="E821" i="3"/>
  <c r="B821" i="3"/>
  <c r="U820" i="3"/>
  <c r="K820" i="3"/>
  <c r="E820" i="3"/>
  <c r="B820" i="3"/>
  <c r="U819" i="3"/>
  <c r="K819" i="3"/>
  <c r="E819" i="3"/>
  <c r="B819" i="3"/>
  <c r="U818" i="3"/>
  <c r="K818" i="3"/>
  <c r="E818" i="3"/>
  <c r="B818" i="3"/>
  <c r="U817" i="3"/>
  <c r="K817" i="3"/>
  <c r="E817" i="3"/>
  <c r="B817" i="3"/>
  <c r="U816" i="3"/>
  <c r="K816" i="3"/>
  <c r="E816" i="3"/>
  <c r="B816" i="3"/>
  <c r="U815" i="3"/>
  <c r="K815" i="3"/>
  <c r="E815" i="3"/>
  <c r="B815" i="3"/>
  <c r="U814" i="3"/>
  <c r="K814" i="3"/>
  <c r="E814" i="3"/>
  <c r="B814" i="3"/>
  <c r="U813" i="3"/>
  <c r="K813" i="3"/>
  <c r="E813" i="3"/>
  <c r="B813" i="3"/>
  <c r="U812" i="3"/>
  <c r="K812" i="3"/>
  <c r="E812" i="3"/>
  <c r="B812" i="3"/>
  <c r="U811" i="3"/>
  <c r="K811" i="3"/>
  <c r="E811" i="3"/>
  <c r="B811" i="3"/>
  <c r="U810" i="3"/>
  <c r="K810" i="3"/>
  <c r="E810" i="3"/>
  <c r="B810" i="3"/>
  <c r="U809" i="3"/>
  <c r="K809" i="3"/>
  <c r="E809" i="3"/>
  <c r="B809" i="3"/>
  <c r="U808" i="3"/>
  <c r="K808" i="3"/>
  <c r="E808" i="3"/>
  <c r="B808" i="3"/>
  <c r="U807" i="3"/>
  <c r="K807" i="3"/>
  <c r="E807" i="3"/>
  <c r="B807" i="3"/>
  <c r="U806" i="3"/>
  <c r="K806" i="3"/>
  <c r="E806" i="3"/>
  <c r="B806" i="3"/>
  <c r="U805" i="3"/>
  <c r="K805" i="3"/>
  <c r="E805" i="3"/>
  <c r="B805" i="3"/>
  <c r="U804" i="3"/>
  <c r="K804" i="3"/>
  <c r="E804" i="3"/>
  <c r="B804" i="3"/>
  <c r="U803" i="3"/>
  <c r="K803" i="3"/>
  <c r="E803" i="3"/>
  <c r="B803" i="3"/>
  <c r="U802" i="3"/>
  <c r="K802" i="3"/>
  <c r="E802" i="3"/>
  <c r="B802" i="3"/>
  <c r="U801" i="3"/>
  <c r="K801" i="3"/>
  <c r="E801" i="3"/>
  <c r="B801" i="3"/>
  <c r="U800" i="3"/>
  <c r="K800" i="3"/>
  <c r="E800" i="3"/>
  <c r="B800" i="3"/>
  <c r="U799" i="3"/>
  <c r="K799" i="3"/>
  <c r="E799" i="3"/>
  <c r="B799" i="3"/>
  <c r="U798" i="3"/>
  <c r="K798" i="3"/>
  <c r="E798" i="3"/>
  <c r="B798" i="3"/>
  <c r="U797" i="3"/>
  <c r="K797" i="3"/>
  <c r="E797" i="3"/>
  <c r="B797" i="3"/>
  <c r="U796" i="3"/>
  <c r="K796" i="3"/>
  <c r="E796" i="3"/>
  <c r="B796" i="3"/>
  <c r="U795" i="3"/>
  <c r="K795" i="3"/>
  <c r="E795" i="3"/>
  <c r="B795" i="3"/>
  <c r="U794" i="3"/>
  <c r="K794" i="3"/>
  <c r="E794" i="3"/>
  <c r="B794" i="3"/>
  <c r="U793" i="3"/>
  <c r="K793" i="3"/>
  <c r="E793" i="3"/>
  <c r="B793" i="3"/>
  <c r="U792" i="3"/>
  <c r="K792" i="3"/>
  <c r="E792" i="3"/>
  <c r="B792" i="3"/>
  <c r="U791" i="3"/>
  <c r="K791" i="3"/>
  <c r="E791" i="3"/>
  <c r="B791" i="3"/>
  <c r="U790" i="3"/>
  <c r="K790" i="3"/>
  <c r="E790" i="3"/>
  <c r="B790" i="3"/>
  <c r="U789" i="3"/>
  <c r="K789" i="3"/>
  <c r="E789" i="3"/>
  <c r="B789" i="3"/>
  <c r="U788" i="3"/>
  <c r="K788" i="3"/>
  <c r="E788" i="3"/>
  <c r="B788" i="3"/>
  <c r="U787" i="3"/>
  <c r="K787" i="3"/>
  <c r="E787" i="3"/>
  <c r="B787" i="3"/>
  <c r="U786" i="3"/>
  <c r="K786" i="3"/>
  <c r="E786" i="3"/>
  <c r="B786" i="3"/>
  <c r="U785" i="3"/>
  <c r="K785" i="3"/>
  <c r="E785" i="3"/>
  <c r="B785" i="3"/>
  <c r="U784" i="3"/>
  <c r="K784" i="3"/>
  <c r="E784" i="3"/>
  <c r="B784" i="3"/>
  <c r="U783" i="3"/>
  <c r="K783" i="3"/>
  <c r="E783" i="3"/>
  <c r="B783" i="3"/>
  <c r="U782" i="3"/>
  <c r="K782" i="3"/>
  <c r="E782" i="3"/>
  <c r="B782" i="3"/>
  <c r="U781" i="3"/>
  <c r="K781" i="3"/>
  <c r="E781" i="3"/>
  <c r="B781" i="3"/>
  <c r="U780" i="3"/>
  <c r="K780" i="3"/>
  <c r="E780" i="3"/>
  <c r="B780" i="3"/>
  <c r="U779" i="3"/>
  <c r="K779" i="3"/>
  <c r="E779" i="3"/>
  <c r="B779" i="3"/>
  <c r="U778" i="3"/>
  <c r="K778" i="3"/>
  <c r="E778" i="3"/>
  <c r="B778" i="3"/>
  <c r="U777" i="3"/>
  <c r="K777" i="3"/>
  <c r="E777" i="3"/>
  <c r="B777" i="3"/>
  <c r="U776" i="3"/>
  <c r="K776" i="3"/>
  <c r="E776" i="3"/>
  <c r="B776" i="3"/>
  <c r="U775" i="3"/>
  <c r="K775" i="3"/>
  <c r="E775" i="3"/>
  <c r="B775" i="3"/>
  <c r="U774" i="3"/>
  <c r="K774" i="3"/>
  <c r="E774" i="3"/>
  <c r="B774" i="3"/>
  <c r="U773" i="3"/>
  <c r="K773" i="3"/>
  <c r="E773" i="3"/>
  <c r="B773" i="3"/>
  <c r="U772" i="3"/>
  <c r="K772" i="3"/>
  <c r="E772" i="3"/>
  <c r="B772" i="3"/>
  <c r="U771" i="3"/>
  <c r="K771" i="3"/>
  <c r="E771" i="3"/>
  <c r="B771" i="3"/>
  <c r="U770" i="3"/>
  <c r="K770" i="3"/>
  <c r="E770" i="3"/>
  <c r="B770" i="3"/>
  <c r="U769" i="3"/>
  <c r="K769" i="3"/>
  <c r="E769" i="3"/>
  <c r="B769" i="3"/>
  <c r="U768" i="3"/>
  <c r="K768" i="3"/>
  <c r="E768" i="3"/>
  <c r="B768" i="3"/>
  <c r="U767" i="3"/>
  <c r="K767" i="3"/>
  <c r="E767" i="3"/>
  <c r="B767" i="3"/>
  <c r="U766" i="3"/>
  <c r="K766" i="3"/>
  <c r="E766" i="3"/>
  <c r="B766" i="3"/>
  <c r="U765" i="3"/>
  <c r="K765" i="3"/>
  <c r="E765" i="3"/>
  <c r="B765" i="3"/>
  <c r="U764" i="3"/>
  <c r="K764" i="3"/>
  <c r="E764" i="3"/>
  <c r="B764" i="3"/>
  <c r="U763" i="3"/>
  <c r="K763" i="3"/>
  <c r="E763" i="3"/>
  <c r="B763" i="3"/>
  <c r="U762" i="3"/>
  <c r="K762" i="3"/>
  <c r="E762" i="3"/>
  <c r="B762" i="3"/>
  <c r="U761" i="3"/>
  <c r="K761" i="3"/>
  <c r="E761" i="3"/>
  <c r="B761" i="3"/>
  <c r="U760" i="3"/>
  <c r="K760" i="3"/>
  <c r="E760" i="3"/>
  <c r="B760" i="3"/>
  <c r="U759" i="3"/>
  <c r="K759" i="3"/>
  <c r="E759" i="3"/>
  <c r="B759" i="3"/>
  <c r="U758" i="3"/>
  <c r="K758" i="3"/>
  <c r="E758" i="3"/>
  <c r="B758" i="3"/>
  <c r="U757" i="3"/>
  <c r="K757" i="3"/>
  <c r="E757" i="3"/>
  <c r="B757" i="3"/>
  <c r="U756" i="3"/>
  <c r="K756" i="3"/>
  <c r="E756" i="3"/>
  <c r="B756" i="3"/>
  <c r="U755" i="3"/>
  <c r="K755" i="3"/>
  <c r="E755" i="3"/>
  <c r="B755" i="3"/>
  <c r="U754" i="3"/>
  <c r="K754" i="3"/>
  <c r="E754" i="3"/>
  <c r="B754" i="3"/>
  <c r="U753" i="3"/>
  <c r="K753" i="3"/>
  <c r="E753" i="3"/>
  <c r="B753" i="3"/>
  <c r="U752" i="3"/>
  <c r="K752" i="3"/>
  <c r="E752" i="3"/>
  <c r="B752" i="3"/>
  <c r="U751" i="3"/>
  <c r="K751" i="3"/>
  <c r="E751" i="3"/>
  <c r="B751" i="3"/>
  <c r="U750" i="3"/>
  <c r="K750" i="3"/>
  <c r="E750" i="3"/>
  <c r="B750" i="3"/>
  <c r="U749" i="3"/>
  <c r="K749" i="3"/>
  <c r="E749" i="3"/>
  <c r="B749" i="3"/>
  <c r="U748" i="3"/>
  <c r="K748" i="3"/>
  <c r="E748" i="3"/>
  <c r="B748" i="3"/>
  <c r="U747" i="3"/>
  <c r="K747" i="3"/>
  <c r="E747" i="3"/>
  <c r="B747" i="3"/>
  <c r="U746" i="3"/>
  <c r="K746" i="3"/>
  <c r="E746" i="3"/>
  <c r="B746" i="3"/>
  <c r="U745" i="3"/>
  <c r="K745" i="3"/>
  <c r="E745" i="3"/>
  <c r="B745" i="3"/>
  <c r="U744" i="3"/>
  <c r="K744" i="3"/>
  <c r="E744" i="3"/>
  <c r="B744" i="3"/>
  <c r="U743" i="3"/>
  <c r="K743" i="3"/>
  <c r="E743" i="3"/>
  <c r="B743" i="3"/>
  <c r="U742" i="3"/>
  <c r="K742" i="3"/>
  <c r="E742" i="3"/>
  <c r="B742" i="3"/>
  <c r="U741" i="3"/>
  <c r="K741" i="3"/>
  <c r="E741" i="3"/>
  <c r="B741" i="3"/>
  <c r="U740" i="3"/>
  <c r="K740" i="3"/>
  <c r="E740" i="3"/>
  <c r="B740" i="3"/>
  <c r="U739" i="3"/>
  <c r="K739" i="3"/>
  <c r="E739" i="3"/>
  <c r="B739" i="3"/>
  <c r="U738" i="3"/>
  <c r="K738" i="3"/>
  <c r="E738" i="3"/>
  <c r="B738" i="3"/>
  <c r="U737" i="3"/>
  <c r="K737" i="3"/>
  <c r="E737" i="3"/>
  <c r="B737" i="3"/>
  <c r="U736" i="3"/>
  <c r="K736" i="3"/>
  <c r="E736" i="3"/>
  <c r="B736" i="3"/>
  <c r="U735" i="3"/>
  <c r="K735" i="3"/>
  <c r="E735" i="3"/>
  <c r="B735" i="3"/>
  <c r="U734" i="3"/>
  <c r="K734" i="3"/>
  <c r="E734" i="3"/>
  <c r="B734" i="3"/>
  <c r="U733" i="3"/>
  <c r="K733" i="3"/>
  <c r="E733" i="3"/>
  <c r="B733" i="3"/>
  <c r="U732" i="3"/>
  <c r="K732" i="3"/>
  <c r="E732" i="3"/>
  <c r="B732" i="3"/>
  <c r="U731" i="3"/>
  <c r="K731" i="3"/>
  <c r="E731" i="3"/>
  <c r="B731" i="3"/>
  <c r="U730" i="3"/>
  <c r="K730" i="3"/>
  <c r="E730" i="3"/>
  <c r="B730" i="3"/>
  <c r="U729" i="3"/>
  <c r="K729" i="3"/>
  <c r="E729" i="3"/>
  <c r="B729" i="3"/>
  <c r="U728" i="3"/>
  <c r="K728" i="3"/>
  <c r="E728" i="3"/>
  <c r="B728" i="3"/>
  <c r="U727" i="3"/>
  <c r="K727" i="3"/>
  <c r="E727" i="3"/>
  <c r="B727" i="3"/>
  <c r="U726" i="3"/>
  <c r="K726" i="3"/>
  <c r="E726" i="3"/>
  <c r="B726" i="3"/>
  <c r="U725" i="3"/>
  <c r="K725" i="3"/>
  <c r="E725" i="3"/>
  <c r="B725" i="3"/>
  <c r="U724" i="3"/>
  <c r="K724" i="3"/>
  <c r="E724" i="3"/>
  <c r="B724" i="3"/>
  <c r="U723" i="3"/>
  <c r="K723" i="3"/>
  <c r="E723" i="3"/>
  <c r="B723" i="3"/>
  <c r="U722" i="3"/>
  <c r="K722" i="3"/>
  <c r="E722" i="3"/>
  <c r="B722" i="3"/>
  <c r="U721" i="3"/>
  <c r="K721" i="3"/>
  <c r="E721" i="3"/>
  <c r="B721" i="3"/>
  <c r="U720" i="3"/>
  <c r="K720" i="3"/>
  <c r="E720" i="3"/>
  <c r="B720" i="3"/>
  <c r="U719" i="3"/>
  <c r="K719" i="3"/>
  <c r="E719" i="3"/>
  <c r="B719" i="3"/>
  <c r="U718" i="3"/>
  <c r="K718" i="3"/>
  <c r="E718" i="3"/>
  <c r="B718" i="3"/>
  <c r="U717" i="3"/>
  <c r="K717" i="3"/>
  <c r="E717" i="3"/>
  <c r="B717" i="3"/>
  <c r="U716" i="3"/>
  <c r="K716" i="3"/>
  <c r="E716" i="3"/>
  <c r="B716" i="3"/>
  <c r="U715" i="3"/>
  <c r="K715" i="3"/>
  <c r="E715" i="3"/>
  <c r="B715" i="3"/>
  <c r="U714" i="3"/>
  <c r="K714" i="3"/>
  <c r="E714" i="3"/>
  <c r="B714" i="3"/>
  <c r="U713" i="3"/>
  <c r="K713" i="3"/>
  <c r="E713" i="3"/>
  <c r="B713" i="3"/>
  <c r="U712" i="3"/>
  <c r="K712" i="3"/>
  <c r="E712" i="3"/>
  <c r="B712" i="3"/>
  <c r="U711" i="3"/>
  <c r="K711" i="3"/>
  <c r="E711" i="3"/>
  <c r="B711" i="3"/>
  <c r="U710" i="3"/>
  <c r="K710" i="3"/>
  <c r="E710" i="3"/>
  <c r="B710" i="3"/>
  <c r="U709" i="3"/>
  <c r="K709" i="3"/>
  <c r="E709" i="3"/>
  <c r="B709" i="3"/>
  <c r="U708" i="3"/>
  <c r="K708" i="3"/>
  <c r="E708" i="3"/>
  <c r="B708" i="3"/>
  <c r="U707" i="3"/>
  <c r="K707" i="3"/>
  <c r="E707" i="3"/>
  <c r="B707" i="3"/>
  <c r="U706" i="3"/>
  <c r="K706" i="3"/>
  <c r="E706" i="3"/>
  <c r="B706" i="3"/>
  <c r="U705" i="3"/>
  <c r="K705" i="3"/>
  <c r="E705" i="3"/>
  <c r="B705" i="3"/>
  <c r="U704" i="3"/>
  <c r="K704" i="3"/>
  <c r="E704" i="3"/>
  <c r="B704" i="3"/>
  <c r="U703" i="3"/>
  <c r="K703" i="3"/>
  <c r="E703" i="3"/>
  <c r="B703" i="3"/>
  <c r="U702" i="3"/>
  <c r="K702" i="3"/>
  <c r="E702" i="3"/>
  <c r="B702" i="3"/>
  <c r="U701" i="3"/>
  <c r="K701" i="3"/>
  <c r="E701" i="3"/>
  <c r="B701" i="3"/>
  <c r="U700" i="3"/>
  <c r="K700" i="3"/>
  <c r="E700" i="3"/>
  <c r="B700" i="3"/>
  <c r="U699" i="3"/>
  <c r="K699" i="3"/>
  <c r="E699" i="3"/>
  <c r="B699" i="3"/>
  <c r="U698" i="3"/>
  <c r="K698" i="3"/>
  <c r="E698" i="3"/>
  <c r="B698" i="3"/>
  <c r="U697" i="3"/>
  <c r="K697" i="3"/>
  <c r="E697" i="3"/>
  <c r="B697" i="3"/>
  <c r="U696" i="3"/>
  <c r="K696" i="3"/>
  <c r="E696" i="3"/>
  <c r="B696" i="3"/>
  <c r="U695" i="3"/>
  <c r="K695" i="3"/>
  <c r="E695" i="3"/>
  <c r="B695" i="3"/>
  <c r="U694" i="3"/>
  <c r="K694" i="3"/>
  <c r="E694" i="3"/>
  <c r="B694" i="3"/>
  <c r="U693" i="3"/>
  <c r="K693" i="3"/>
  <c r="E693" i="3"/>
  <c r="B693" i="3"/>
  <c r="U692" i="3"/>
  <c r="K692" i="3"/>
  <c r="E692" i="3"/>
  <c r="B692" i="3"/>
  <c r="U691" i="3"/>
  <c r="K691" i="3"/>
  <c r="E691" i="3"/>
  <c r="B691" i="3"/>
  <c r="U690" i="3"/>
  <c r="K690" i="3"/>
  <c r="E690" i="3"/>
  <c r="B690" i="3"/>
  <c r="U689" i="3"/>
  <c r="K689" i="3"/>
  <c r="E689" i="3"/>
  <c r="B689" i="3"/>
  <c r="U688" i="3"/>
  <c r="K688" i="3"/>
  <c r="E688" i="3"/>
  <c r="B688" i="3"/>
  <c r="U687" i="3"/>
  <c r="K687" i="3"/>
  <c r="E687" i="3"/>
  <c r="B687" i="3"/>
  <c r="U686" i="3"/>
  <c r="K686" i="3"/>
  <c r="E686" i="3"/>
  <c r="B686" i="3"/>
  <c r="U685" i="3"/>
  <c r="K685" i="3"/>
  <c r="E685" i="3"/>
  <c r="B685" i="3"/>
  <c r="U684" i="3"/>
  <c r="K684" i="3"/>
  <c r="E684" i="3"/>
  <c r="B684" i="3"/>
  <c r="K683" i="3"/>
  <c r="E683" i="3"/>
  <c r="B683" i="3"/>
  <c r="K682" i="3"/>
  <c r="E682" i="3"/>
  <c r="B682" i="3"/>
  <c r="U681" i="3"/>
  <c r="K681" i="3"/>
  <c r="E681" i="3"/>
  <c r="B681" i="3"/>
  <c r="U680" i="3"/>
  <c r="K680" i="3"/>
  <c r="E680" i="3"/>
  <c r="B680" i="3"/>
  <c r="U679" i="3"/>
  <c r="K679" i="3"/>
  <c r="E679" i="3"/>
  <c r="B679" i="3"/>
  <c r="U678" i="3"/>
  <c r="K678" i="3"/>
  <c r="E678" i="3"/>
  <c r="B678" i="3"/>
  <c r="U677" i="3"/>
  <c r="K677" i="3"/>
  <c r="E677" i="3"/>
  <c r="B677" i="3"/>
  <c r="U676" i="3"/>
  <c r="K676" i="3"/>
  <c r="E676" i="3"/>
  <c r="B676" i="3"/>
  <c r="U675" i="3"/>
  <c r="K675" i="3"/>
  <c r="E675" i="3"/>
  <c r="B675" i="3"/>
  <c r="U674" i="3"/>
  <c r="K674" i="3"/>
  <c r="E674" i="3"/>
  <c r="B674" i="3"/>
  <c r="U673" i="3"/>
  <c r="K673" i="3"/>
  <c r="E673" i="3"/>
  <c r="B673" i="3"/>
  <c r="U672" i="3"/>
  <c r="K672" i="3"/>
  <c r="E672" i="3"/>
  <c r="B672" i="3"/>
  <c r="U671" i="3"/>
  <c r="K671" i="3"/>
  <c r="E671" i="3"/>
  <c r="B671" i="3"/>
  <c r="U670" i="3"/>
  <c r="K670" i="3"/>
  <c r="E670" i="3"/>
  <c r="B670" i="3"/>
  <c r="U669" i="3"/>
  <c r="K669" i="3"/>
  <c r="E669" i="3"/>
  <c r="B669" i="3"/>
  <c r="K668" i="3"/>
  <c r="E668" i="3"/>
  <c r="B668" i="3"/>
  <c r="U667" i="3"/>
  <c r="K667" i="3"/>
  <c r="E667" i="3"/>
  <c r="B667" i="3"/>
  <c r="U666" i="3"/>
  <c r="K666" i="3"/>
  <c r="E666" i="3"/>
  <c r="B666" i="3"/>
  <c r="U665" i="3"/>
  <c r="K665" i="3"/>
  <c r="E665" i="3"/>
  <c r="B665" i="3"/>
  <c r="U664" i="3"/>
  <c r="K664" i="3"/>
  <c r="E664" i="3"/>
  <c r="B664" i="3"/>
  <c r="U663" i="3"/>
  <c r="K663" i="3"/>
  <c r="E663" i="3"/>
  <c r="B663" i="3"/>
  <c r="U662" i="3"/>
  <c r="K662" i="3"/>
  <c r="E662" i="3"/>
  <c r="B662" i="3"/>
  <c r="U661" i="3"/>
  <c r="K661" i="3"/>
  <c r="E661" i="3"/>
  <c r="B661" i="3"/>
  <c r="U660" i="3"/>
  <c r="K660" i="3"/>
  <c r="E660" i="3"/>
  <c r="B660" i="3"/>
  <c r="U659" i="3"/>
  <c r="K659" i="3"/>
  <c r="E659" i="3"/>
  <c r="B659" i="3"/>
  <c r="U658" i="3"/>
  <c r="K658" i="3"/>
  <c r="E658" i="3"/>
  <c r="B658" i="3"/>
  <c r="U657" i="3"/>
  <c r="K657" i="3"/>
  <c r="E657" i="3"/>
  <c r="B657" i="3"/>
  <c r="U656" i="3"/>
  <c r="K656" i="3"/>
  <c r="E656" i="3"/>
  <c r="B656" i="3"/>
  <c r="U655" i="3"/>
  <c r="K655" i="3"/>
  <c r="E655" i="3"/>
  <c r="B655" i="3"/>
  <c r="U654" i="3"/>
  <c r="K654" i="3"/>
  <c r="E654" i="3"/>
  <c r="B654" i="3"/>
  <c r="U653" i="3"/>
  <c r="K653" i="3"/>
  <c r="E653" i="3"/>
  <c r="B653" i="3"/>
  <c r="U652" i="3"/>
  <c r="K652" i="3"/>
  <c r="E652" i="3"/>
  <c r="B652" i="3"/>
  <c r="U651" i="3"/>
  <c r="K651" i="3"/>
  <c r="E651" i="3"/>
  <c r="B651" i="3"/>
  <c r="U650" i="3"/>
  <c r="K650" i="3"/>
  <c r="E650" i="3"/>
  <c r="B650" i="3"/>
  <c r="U649" i="3"/>
  <c r="K649" i="3"/>
  <c r="E649" i="3"/>
  <c r="B649" i="3"/>
  <c r="U648" i="3"/>
  <c r="K648" i="3"/>
  <c r="E648" i="3"/>
  <c r="B648" i="3"/>
  <c r="U647" i="3"/>
  <c r="K647" i="3"/>
  <c r="E647" i="3"/>
  <c r="B647" i="3"/>
  <c r="U646" i="3"/>
  <c r="K646" i="3"/>
  <c r="E646" i="3"/>
  <c r="B646" i="3"/>
  <c r="U645" i="3"/>
  <c r="K645" i="3"/>
  <c r="E645" i="3"/>
  <c r="B645" i="3"/>
  <c r="U644" i="3"/>
  <c r="K644" i="3"/>
  <c r="E644" i="3"/>
  <c r="B644" i="3"/>
  <c r="U643" i="3"/>
  <c r="K643" i="3"/>
  <c r="E643" i="3"/>
  <c r="B643" i="3"/>
  <c r="U642" i="3"/>
  <c r="K642" i="3"/>
  <c r="E642" i="3"/>
  <c r="B642" i="3"/>
  <c r="U641" i="3"/>
  <c r="K641" i="3"/>
  <c r="E641" i="3"/>
  <c r="B641" i="3"/>
  <c r="U640" i="3"/>
  <c r="K640" i="3"/>
  <c r="E640" i="3"/>
  <c r="B640" i="3"/>
  <c r="U639" i="3"/>
  <c r="K639" i="3"/>
  <c r="E639" i="3"/>
  <c r="B639" i="3"/>
  <c r="U638" i="3"/>
  <c r="K638" i="3"/>
  <c r="E638" i="3"/>
  <c r="B638" i="3"/>
  <c r="U637" i="3"/>
  <c r="K637" i="3"/>
  <c r="E637" i="3"/>
  <c r="B637" i="3"/>
  <c r="U636" i="3"/>
  <c r="K636" i="3"/>
  <c r="E636" i="3"/>
  <c r="B636" i="3"/>
  <c r="U635" i="3"/>
  <c r="K635" i="3"/>
  <c r="E635" i="3"/>
  <c r="B635" i="3"/>
  <c r="U634" i="3"/>
  <c r="K634" i="3"/>
  <c r="E634" i="3"/>
  <c r="B634" i="3"/>
  <c r="U633" i="3"/>
  <c r="K633" i="3"/>
  <c r="E633" i="3"/>
  <c r="B633" i="3"/>
  <c r="U632" i="3"/>
  <c r="K632" i="3"/>
  <c r="E632" i="3"/>
  <c r="B632" i="3"/>
  <c r="U631" i="3"/>
  <c r="K631" i="3"/>
  <c r="E631" i="3"/>
  <c r="B631" i="3"/>
  <c r="U630" i="3"/>
  <c r="K630" i="3"/>
  <c r="E630" i="3"/>
  <c r="B630" i="3"/>
  <c r="U629" i="3"/>
  <c r="K629" i="3"/>
  <c r="E629" i="3"/>
  <c r="B629" i="3"/>
  <c r="U628" i="3"/>
  <c r="K628" i="3"/>
  <c r="E628" i="3"/>
  <c r="B628" i="3"/>
  <c r="U627" i="3"/>
  <c r="K627" i="3"/>
  <c r="E627" i="3"/>
  <c r="B627" i="3"/>
  <c r="U626" i="3"/>
  <c r="K626" i="3"/>
  <c r="E626" i="3"/>
  <c r="B626" i="3"/>
  <c r="U625" i="3"/>
  <c r="K625" i="3"/>
  <c r="E625" i="3"/>
  <c r="B625" i="3"/>
  <c r="U624" i="3"/>
  <c r="K624" i="3"/>
  <c r="E624" i="3"/>
  <c r="B624" i="3"/>
  <c r="U623" i="3"/>
  <c r="K623" i="3"/>
  <c r="E623" i="3"/>
  <c r="B623" i="3"/>
  <c r="U622" i="3"/>
  <c r="K622" i="3"/>
  <c r="E622" i="3"/>
  <c r="B622" i="3"/>
  <c r="U621" i="3"/>
  <c r="K621" i="3"/>
  <c r="E621" i="3"/>
  <c r="B621" i="3"/>
  <c r="U620" i="3"/>
  <c r="K620" i="3"/>
  <c r="E620" i="3"/>
  <c r="B620" i="3"/>
  <c r="U619" i="3"/>
  <c r="K619" i="3"/>
  <c r="E619" i="3"/>
  <c r="B619" i="3"/>
  <c r="U618" i="3"/>
  <c r="K618" i="3"/>
  <c r="E618" i="3"/>
  <c r="B618" i="3"/>
  <c r="U617" i="3"/>
  <c r="K617" i="3"/>
  <c r="E617" i="3"/>
  <c r="B617" i="3"/>
  <c r="U616" i="3"/>
  <c r="K616" i="3"/>
  <c r="E616" i="3"/>
  <c r="B616" i="3"/>
  <c r="U615" i="3"/>
  <c r="K615" i="3"/>
  <c r="E615" i="3"/>
  <c r="B615" i="3"/>
  <c r="U614" i="3"/>
  <c r="K614" i="3"/>
  <c r="E614" i="3"/>
  <c r="B614" i="3"/>
  <c r="U613" i="3"/>
  <c r="K613" i="3"/>
  <c r="E613" i="3"/>
  <c r="B613" i="3"/>
  <c r="U612" i="3"/>
  <c r="K612" i="3"/>
  <c r="E612" i="3"/>
  <c r="B612" i="3"/>
  <c r="U611" i="3"/>
  <c r="K611" i="3"/>
  <c r="E611" i="3"/>
  <c r="B611" i="3"/>
  <c r="U610" i="3"/>
  <c r="K610" i="3"/>
  <c r="E610" i="3"/>
  <c r="B610" i="3"/>
  <c r="U609" i="3"/>
  <c r="K609" i="3"/>
  <c r="E609" i="3"/>
  <c r="B609" i="3"/>
  <c r="U608" i="3"/>
  <c r="K608" i="3"/>
  <c r="E608" i="3"/>
  <c r="B608" i="3"/>
  <c r="U607" i="3"/>
  <c r="K607" i="3"/>
  <c r="E607" i="3"/>
  <c r="B607" i="3"/>
  <c r="U606" i="3"/>
  <c r="K606" i="3"/>
  <c r="E606" i="3"/>
  <c r="B606" i="3"/>
  <c r="U605" i="3"/>
  <c r="K605" i="3"/>
  <c r="E605" i="3"/>
  <c r="B605" i="3"/>
  <c r="U604" i="3"/>
  <c r="K604" i="3"/>
  <c r="E604" i="3"/>
  <c r="B604" i="3"/>
  <c r="U603" i="3"/>
  <c r="K603" i="3"/>
  <c r="E603" i="3"/>
  <c r="B603" i="3"/>
  <c r="U602" i="3"/>
  <c r="K602" i="3"/>
  <c r="E602" i="3"/>
  <c r="B602" i="3"/>
  <c r="U601" i="3"/>
  <c r="K601" i="3"/>
  <c r="E601" i="3"/>
  <c r="B601" i="3"/>
  <c r="U600" i="3"/>
  <c r="K600" i="3"/>
  <c r="E600" i="3"/>
  <c r="B600" i="3"/>
  <c r="U599" i="3"/>
  <c r="K599" i="3"/>
  <c r="E599" i="3"/>
  <c r="B599" i="3"/>
  <c r="U598" i="3"/>
  <c r="K598" i="3"/>
  <c r="E598" i="3"/>
  <c r="B598" i="3"/>
  <c r="U597" i="3"/>
  <c r="K597" i="3"/>
  <c r="E597" i="3"/>
  <c r="B597" i="3"/>
  <c r="U596" i="3"/>
  <c r="K596" i="3"/>
  <c r="E596" i="3"/>
  <c r="B596" i="3"/>
  <c r="U595" i="3"/>
  <c r="K595" i="3"/>
  <c r="E595" i="3"/>
  <c r="B595" i="3"/>
  <c r="U594" i="3"/>
  <c r="K594" i="3"/>
  <c r="E594" i="3"/>
  <c r="B594" i="3"/>
  <c r="U593" i="3"/>
  <c r="K593" i="3"/>
  <c r="E593" i="3"/>
  <c r="B593" i="3"/>
  <c r="U592" i="3"/>
  <c r="K592" i="3"/>
  <c r="E592" i="3"/>
  <c r="B592" i="3"/>
  <c r="U591" i="3"/>
  <c r="K591" i="3"/>
  <c r="E591" i="3"/>
  <c r="B591" i="3"/>
  <c r="U590" i="3"/>
  <c r="K590" i="3"/>
  <c r="E590" i="3"/>
  <c r="B590" i="3"/>
  <c r="U589" i="3"/>
  <c r="K589" i="3"/>
  <c r="E589" i="3"/>
  <c r="B589" i="3"/>
  <c r="U588" i="3"/>
  <c r="K588" i="3"/>
  <c r="E588" i="3"/>
  <c r="B588" i="3"/>
  <c r="U587" i="3"/>
  <c r="K587" i="3"/>
  <c r="E587" i="3"/>
  <c r="B587" i="3"/>
  <c r="U586" i="3"/>
  <c r="K586" i="3"/>
  <c r="E586" i="3"/>
  <c r="B586" i="3"/>
  <c r="U585" i="3"/>
  <c r="K585" i="3"/>
  <c r="E585" i="3"/>
  <c r="B585" i="3"/>
  <c r="U584" i="3"/>
  <c r="K584" i="3"/>
  <c r="E584" i="3"/>
  <c r="B584" i="3"/>
  <c r="U583" i="3"/>
  <c r="K583" i="3"/>
  <c r="E583" i="3"/>
  <c r="B583" i="3"/>
  <c r="U582" i="3"/>
  <c r="K582" i="3"/>
  <c r="E582" i="3"/>
  <c r="B582" i="3"/>
  <c r="U581" i="3"/>
  <c r="K581" i="3"/>
  <c r="E581" i="3"/>
  <c r="B581" i="3"/>
  <c r="U580" i="3"/>
  <c r="K580" i="3"/>
  <c r="E580" i="3"/>
  <c r="B580" i="3"/>
  <c r="U579" i="3"/>
  <c r="K579" i="3"/>
  <c r="E579" i="3"/>
  <c r="B579" i="3"/>
  <c r="U578" i="3"/>
  <c r="K578" i="3"/>
  <c r="E578" i="3"/>
  <c r="B578" i="3"/>
  <c r="U577" i="3"/>
  <c r="K577" i="3"/>
  <c r="E577" i="3"/>
  <c r="B577" i="3"/>
  <c r="U576" i="3"/>
  <c r="K576" i="3"/>
  <c r="E576" i="3"/>
  <c r="B576" i="3"/>
  <c r="U575" i="3"/>
  <c r="K575" i="3"/>
  <c r="E575" i="3"/>
  <c r="B575" i="3"/>
  <c r="U574" i="3"/>
  <c r="K574" i="3"/>
  <c r="E574" i="3"/>
  <c r="B574" i="3"/>
  <c r="U573" i="3"/>
  <c r="K573" i="3"/>
  <c r="E573" i="3"/>
  <c r="B573" i="3"/>
  <c r="U572" i="3"/>
  <c r="K572" i="3"/>
  <c r="E572" i="3"/>
  <c r="B572" i="3"/>
  <c r="U571" i="3"/>
  <c r="K571" i="3"/>
  <c r="E571" i="3"/>
  <c r="B571" i="3"/>
  <c r="U570" i="3"/>
  <c r="K570" i="3"/>
  <c r="E570" i="3"/>
  <c r="B570" i="3"/>
  <c r="U569" i="3"/>
  <c r="K569" i="3"/>
  <c r="E569" i="3"/>
  <c r="B569" i="3"/>
  <c r="U568" i="3"/>
  <c r="K568" i="3"/>
  <c r="E568" i="3"/>
  <c r="B568" i="3"/>
  <c r="U567" i="3"/>
  <c r="K567" i="3"/>
  <c r="E567" i="3"/>
  <c r="B567" i="3"/>
  <c r="U566" i="3"/>
  <c r="K566" i="3"/>
  <c r="E566" i="3"/>
  <c r="B566" i="3"/>
  <c r="U565" i="3"/>
  <c r="K565" i="3"/>
  <c r="E565" i="3"/>
  <c r="B565" i="3"/>
  <c r="U564" i="3"/>
  <c r="K564" i="3"/>
  <c r="E564" i="3"/>
  <c r="B564" i="3"/>
  <c r="U563" i="3"/>
  <c r="K563" i="3"/>
  <c r="E563" i="3"/>
  <c r="B563" i="3"/>
  <c r="U562" i="3"/>
  <c r="K562" i="3"/>
  <c r="E562" i="3"/>
  <c r="B562" i="3"/>
  <c r="U561" i="3"/>
  <c r="K561" i="3"/>
  <c r="E561" i="3"/>
  <c r="B561" i="3"/>
  <c r="U560" i="3"/>
  <c r="K560" i="3"/>
  <c r="E560" i="3"/>
  <c r="B560" i="3"/>
  <c r="U559" i="3"/>
  <c r="K559" i="3"/>
  <c r="E559" i="3"/>
  <c r="B559" i="3"/>
  <c r="U558" i="3"/>
  <c r="K558" i="3"/>
  <c r="E558" i="3"/>
  <c r="B558" i="3"/>
  <c r="U557" i="3"/>
  <c r="K557" i="3"/>
  <c r="E557" i="3"/>
  <c r="B557" i="3"/>
  <c r="U556" i="3"/>
  <c r="K556" i="3"/>
  <c r="E556" i="3"/>
  <c r="B556" i="3"/>
  <c r="U555" i="3"/>
  <c r="K555" i="3"/>
  <c r="E555" i="3"/>
  <c r="B555" i="3"/>
  <c r="U554" i="3"/>
  <c r="K554" i="3"/>
  <c r="E554" i="3"/>
  <c r="B554" i="3"/>
  <c r="U553" i="3"/>
  <c r="K553" i="3"/>
  <c r="E553" i="3"/>
  <c r="B553" i="3"/>
  <c r="U552" i="3"/>
  <c r="K552" i="3"/>
  <c r="E552" i="3"/>
  <c r="B552" i="3"/>
  <c r="U551" i="3"/>
  <c r="K551" i="3"/>
  <c r="E551" i="3"/>
  <c r="B551" i="3"/>
  <c r="U550" i="3"/>
  <c r="K550" i="3"/>
  <c r="E550" i="3"/>
  <c r="B550" i="3"/>
  <c r="U549" i="3"/>
  <c r="K549" i="3"/>
  <c r="E549" i="3"/>
  <c r="B549" i="3"/>
  <c r="U548" i="3"/>
  <c r="K548" i="3"/>
  <c r="E548" i="3"/>
  <c r="B548" i="3"/>
  <c r="U547" i="3"/>
  <c r="K547" i="3"/>
  <c r="E547" i="3"/>
  <c r="B547" i="3"/>
  <c r="U546" i="3"/>
  <c r="K546" i="3"/>
  <c r="E546" i="3"/>
  <c r="B546" i="3"/>
  <c r="U545" i="3"/>
  <c r="K545" i="3"/>
  <c r="E545" i="3"/>
  <c r="B545" i="3"/>
  <c r="U544" i="3"/>
  <c r="K544" i="3"/>
  <c r="E544" i="3"/>
  <c r="B544" i="3"/>
  <c r="U543" i="3"/>
  <c r="K543" i="3"/>
  <c r="E543" i="3"/>
  <c r="B543" i="3"/>
  <c r="U542" i="3"/>
  <c r="K542" i="3"/>
  <c r="E542" i="3"/>
  <c r="B542" i="3"/>
  <c r="U541" i="3"/>
  <c r="K541" i="3"/>
  <c r="E541" i="3"/>
  <c r="B541" i="3"/>
  <c r="U540" i="3"/>
  <c r="K540" i="3"/>
  <c r="E540" i="3"/>
  <c r="B540" i="3"/>
  <c r="U539" i="3"/>
  <c r="K539" i="3"/>
  <c r="E539" i="3"/>
  <c r="B539" i="3"/>
  <c r="U538" i="3"/>
  <c r="K538" i="3"/>
  <c r="E538" i="3"/>
  <c r="B538" i="3"/>
  <c r="U537" i="3"/>
  <c r="K537" i="3"/>
  <c r="E537" i="3"/>
  <c r="B537" i="3"/>
  <c r="U536" i="3"/>
  <c r="K536" i="3"/>
  <c r="E536" i="3"/>
  <c r="B536" i="3"/>
  <c r="U535" i="3"/>
  <c r="K535" i="3"/>
  <c r="E535" i="3"/>
  <c r="B535" i="3"/>
  <c r="U534" i="3"/>
  <c r="K534" i="3"/>
  <c r="E534" i="3"/>
  <c r="B534" i="3"/>
  <c r="U533" i="3"/>
  <c r="K533" i="3"/>
  <c r="E533" i="3"/>
  <c r="B533" i="3"/>
  <c r="U532" i="3"/>
  <c r="K532" i="3"/>
  <c r="E532" i="3"/>
  <c r="B532" i="3"/>
  <c r="U531" i="3"/>
  <c r="K531" i="3"/>
  <c r="E531" i="3"/>
  <c r="B531" i="3"/>
  <c r="U530" i="3"/>
  <c r="K530" i="3"/>
  <c r="E530" i="3"/>
  <c r="B530" i="3"/>
  <c r="U529" i="3"/>
  <c r="K529" i="3"/>
  <c r="E529" i="3"/>
  <c r="B529" i="3"/>
  <c r="U528" i="3"/>
  <c r="K528" i="3"/>
  <c r="E528" i="3"/>
  <c r="B528" i="3"/>
  <c r="U527" i="3"/>
  <c r="K527" i="3"/>
  <c r="E527" i="3"/>
  <c r="B527" i="3"/>
  <c r="U526" i="3"/>
  <c r="K526" i="3"/>
  <c r="E526" i="3"/>
  <c r="B526" i="3"/>
  <c r="U525" i="3"/>
  <c r="K525" i="3"/>
  <c r="E525" i="3"/>
  <c r="B525" i="3"/>
  <c r="U524" i="3"/>
  <c r="K524" i="3"/>
  <c r="E524" i="3"/>
  <c r="B524" i="3"/>
  <c r="U523" i="3"/>
  <c r="K523" i="3"/>
  <c r="E523" i="3"/>
  <c r="B523" i="3"/>
  <c r="U522" i="3"/>
  <c r="K522" i="3"/>
  <c r="E522" i="3"/>
  <c r="B522" i="3"/>
  <c r="U521" i="3"/>
  <c r="K521" i="3"/>
  <c r="E521" i="3"/>
  <c r="B521" i="3"/>
  <c r="U520" i="3"/>
  <c r="K520" i="3"/>
  <c r="E520" i="3"/>
  <c r="B520" i="3"/>
  <c r="U519" i="3"/>
  <c r="K519" i="3"/>
  <c r="E519" i="3"/>
  <c r="B519" i="3"/>
  <c r="U518" i="3"/>
  <c r="K518" i="3"/>
  <c r="E518" i="3"/>
  <c r="B518" i="3"/>
  <c r="U517" i="3"/>
  <c r="K517" i="3"/>
  <c r="E517" i="3"/>
  <c r="B517" i="3"/>
  <c r="U516" i="3"/>
  <c r="K516" i="3"/>
  <c r="E516" i="3"/>
  <c r="B516" i="3"/>
  <c r="U515" i="3"/>
  <c r="K515" i="3"/>
  <c r="E515" i="3"/>
  <c r="B515" i="3"/>
  <c r="U514" i="3"/>
  <c r="K514" i="3"/>
  <c r="E514" i="3"/>
  <c r="B514" i="3"/>
  <c r="U513" i="3"/>
  <c r="K513" i="3"/>
  <c r="E513" i="3"/>
  <c r="B513" i="3"/>
  <c r="U512" i="3"/>
  <c r="K512" i="3"/>
  <c r="E512" i="3"/>
  <c r="B512" i="3"/>
  <c r="U511" i="3"/>
  <c r="K511" i="3"/>
  <c r="E511" i="3"/>
  <c r="B511" i="3"/>
  <c r="U510" i="3"/>
  <c r="K510" i="3"/>
  <c r="E510" i="3"/>
  <c r="B510" i="3"/>
  <c r="U509" i="3"/>
  <c r="K509" i="3"/>
  <c r="E509" i="3"/>
  <c r="B509" i="3"/>
  <c r="U508" i="3"/>
  <c r="K508" i="3"/>
  <c r="E508" i="3"/>
  <c r="B508" i="3"/>
  <c r="U507" i="3"/>
  <c r="K507" i="3"/>
  <c r="E507" i="3"/>
  <c r="B507" i="3"/>
  <c r="U506" i="3"/>
  <c r="K506" i="3"/>
  <c r="E506" i="3"/>
  <c r="B506" i="3"/>
  <c r="U505" i="3"/>
  <c r="K505" i="3"/>
  <c r="E505" i="3"/>
  <c r="B505" i="3"/>
  <c r="U504" i="3"/>
  <c r="K504" i="3"/>
  <c r="E504" i="3"/>
  <c r="B504" i="3"/>
  <c r="U503" i="3"/>
  <c r="K503" i="3"/>
  <c r="E503" i="3"/>
  <c r="B503" i="3"/>
  <c r="U502" i="3"/>
  <c r="K502" i="3"/>
  <c r="E502" i="3"/>
  <c r="B502" i="3"/>
  <c r="U501" i="3"/>
  <c r="K501" i="3"/>
  <c r="E501" i="3"/>
  <c r="B501" i="3"/>
  <c r="U500" i="3"/>
  <c r="K500" i="3"/>
  <c r="E500" i="3"/>
  <c r="B500" i="3"/>
  <c r="U499" i="3"/>
  <c r="K499" i="3"/>
  <c r="E499" i="3"/>
  <c r="B499" i="3"/>
  <c r="U498" i="3"/>
  <c r="K498" i="3"/>
  <c r="E498" i="3"/>
  <c r="B498" i="3"/>
  <c r="U497" i="3"/>
  <c r="K497" i="3"/>
  <c r="E497" i="3"/>
  <c r="B497" i="3"/>
  <c r="U496" i="3"/>
  <c r="K496" i="3"/>
  <c r="E496" i="3"/>
  <c r="B496" i="3"/>
  <c r="U495" i="3"/>
  <c r="K495" i="3"/>
  <c r="E495" i="3"/>
  <c r="B495" i="3"/>
  <c r="U494" i="3"/>
  <c r="K494" i="3"/>
  <c r="E494" i="3"/>
  <c r="B494" i="3"/>
  <c r="U493" i="3"/>
  <c r="K493" i="3"/>
  <c r="E493" i="3"/>
  <c r="B493" i="3"/>
  <c r="U492" i="3"/>
  <c r="K492" i="3"/>
  <c r="E492" i="3"/>
  <c r="B492" i="3"/>
  <c r="U491" i="3"/>
  <c r="K491" i="3"/>
  <c r="E491" i="3"/>
  <c r="B491" i="3"/>
  <c r="U490" i="3"/>
  <c r="K490" i="3"/>
  <c r="E490" i="3"/>
  <c r="B490" i="3"/>
  <c r="U489" i="3"/>
  <c r="K489" i="3"/>
  <c r="E489" i="3"/>
  <c r="B489" i="3"/>
  <c r="U488" i="3"/>
  <c r="K488" i="3"/>
  <c r="E488" i="3"/>
  <c r="B488" i="3"/>
  <c r="U487" i="3"/>
  <c r="K487" i="3"/>
  <c r="E487" i="3"/>
  <c r="B487" i="3"/>
  <c r="U486" i="3"/>
  <c r="K486" i="3"/>
  <c r="E486" i="3"/>
  <c r="B486" i="3"/>
  <c r="U485" i="3"/>
  <c r="K485" i="3"/>
  <c r="E485" i="3"/>
  <c r="B485" i="3"/>
  <c r="U484" i="3"/>
  <c r="K484" i="3"/>
  <c r="E484" i="3"/>
  <c r="B484" i="3"/>
  <c r="U483" i="3"/>
  <c r="K483" i="3"/>
  <c r="E483" i="3"/>
  <c r="B483" i="3"/>
  <c r="U482" i="3"/>
  <c r="K482" i="3"/>
  <c r="E482" i="3"/>
  <c r="B482" i="3"/>
  <c r="U481" i="3"/>
  <c r="K481" i="3"/>
  <c r="E481" i="3"/>
  <c r="B481" i="3"/>
  <c r="U480" i="3"/>
  <c r="K480" i="3"/>
  <c r="E480" i="3"/>
  <c r="B480" i="3"/>
  <c r="U479" i="3"/>
  <c r="K479" i="3"/>
  <c r="E479" i="3"/>
  <c r="B479" i="3"/>
  <c r="U478" i="3"/>
  <c r="K478" i="3"/>
  <c r="E478" i="3"/>
  <c r="B478" i="3"/>
  <c r="U477" i="3"/>
  <c r="K477" i="3"/>
  <c r="E477" i="3"/>
  <c r="B477" i="3"/>
  <c r="U476" i="3"/>
  <c r="K476" i="3"/>
  <c r="E476" i="3"/>
  <c r="B476" i="3"/>
  <c r="U475" i="3"/>
  <c r="K475" i="3"/>
  <c r="E475" i="3"/>
  <c r="B475" i="3"/>
  <c r="U474" i="3"/>
  <c r="K474" i="3"/>
  <c r="E474" i="3"/>
  <c r="B474" i="3"/>
  <c r="U473" i="3"/>
  <c r="K473" i="3"/>
  <c r="E473" i="3"/>
  <c r="B473" i="3"/>
  <c r="U472" i="3"/>
  <c r="K472" i="3"/>
  <c r="E472" i="3"/>
  <c r="B472" i="3"/>
  <c r="K471" i="3"/>
  <c r="E471" i="3"/>
  <c r="B471" i="3"/>
  <c r="U470" i="3"/>
  <c r="K470" i="3"/>
  <c r="E470" i="3"/>
  <c r="B470" i="3"/>
  <c r="U469" i="3"/>
  <c r="K469" i="3"/>
  <c r="E469" i="3"/>
  <c r="B469" i="3"/>
  <c r="U468" i="3"/>
  <c r="K468" i="3"/>
  <c r="E468" i="3"/>
  <c r="B468" i="3"/>
  <c r="U467" i="3"/>
  <c r="K467" i="3"/>
  <c r="E467" i="3"/>
  <c r="B467" i="3"/>
  <c r="U466" i="3"/>
  <c r="K466" i="3"/>
  <c r="E466" i="3"/>
  <c r="B466" i="3"/>
  <c r="U465" i="3"/>
  <c r="K465" i="3"/>
  <c r="E465" i="3"/>
  <c r="B465" i="3"/>
  <c r="U464" i="3"/>
  <c r="K464" i="3"/>
  <c r="E464" i="3"/>
  <c r="B464" i="3"/>
  <c r="U463" i="3"/>
  <c r="K463" i="3"/>
  <c r="E463" i="3"/>
  <c r="B463" i="3"/>
  <c r="U462" i="3"/>
  <c r="K462" i="3"/>
  <c r="E462" i="3"/>
  <c r="B462" i="3"/>
  <c r="U461" i="3"/>
  <c r="K461" i="3"/>
  <c r="E461" i="3"/>
  <c r="B461" i="3"/>
  <c r="U460" i="3"/>
  <c r="K460" i="3"/>
  <c r="E460" i="3"/>
  <c r="B460" i="3"/>
  <c r="U459" i="3"/>
  <c r="K459" i="3"/>
  <c r="E459" i="3"/>
  <c r="B459" i="3"/>
  <c r="U458" i="3"/>
  <c r="K458" i="3"/>
  <c r="E458" i="3"/>
  <c r="B458" i="3"/>
  <c r="U457" i="3"/>
  <c r="K457" i="3"/>
  <c r="E457" i="3"/>
  <c r="B457" i="3"/>
  <c r="U456" i="3"/>
  <c r="K456" i="3"/>
  <c r="E456" i="3"/>
  <c r="B456" i="3"/>
  <c r="U455" i="3"/>
  <c r="K455" i="3"/>
  <c r="E455" i="3"/>
  <c r="B455" i="3"/>
  <c r="U454" i="3"/>
  <c r="K454" i="3"/>
  <c r="E454" i="3"/>
  <c r="B454" i="3"/>
  <c r="U453" i="3"/>
  <c r="K453" i="3"/>
  <c r="E453" i="3"/>
  <c r="B453" i="3"/>
  <c r="U452" i="3"/>
  <c r="K452" i="3"/>
  <c r="E452" i="3"/>
  <c r="B452" i="3"/>
  <c r="U451" i="3"/>
  <c r="K451" i="3"/>
  <c r="E451" i="3"/>
  <c r="B451" i="3"/>
  <c r="U450" i="3"/>
  <c r="K450" i="3"/>
  <c r="E450" i="3"/>
  <c r="B450" i="3"/>
  <c r="U449" i="3"/>
  <c r="K449" i="3"/>
  <c r="E449" i="3"/>
  <c r="B449" i="3"/>
  <c r="U448" i="3"/>
  <c r="K448" i="3"/>
  <c r="E448" i="3"/>
  <c r="B448" i="3"/>
  <c r="U447" i="3"/>
  <c r="K447" i="3"/>
  <c r="E447" i="3"/>
  <c r="B447" i="3"/>
  <c r="U446" i="3"/>
  <c r="K446" i="3"/>
  <c r="E446" i="3"/>
  <c r="B446" i="3"/>
  <c r="U445" i="3"/>
  <c r="K445" i="3"/>
  <c r="E445" i="3"/>
  <c r="B445" i="3"/>
  <c r="U444" i="3"/>
  <c r="K444" i="3"/>
  <c r="E444" i="3"/>
  <c r="B444" i="3"/>
  <c r="U443" i="3"/>
  <c r="K443" i="3"/>
  <c r="E443" i="3"/>
  <c r="B443" i="3"/>
  <c r="U442" i="3"/>
  <c r="K442" i="3"/>
  <c r="E442" i="3"/>
  <c r="B442" i="3"/>
  <c r="U441" i="3"/>
  <c r="K441" i="3"/>
  <c r="E441" i="3"/>
  <c r="B441" i="3"/>
  <c r="U440" i="3"/>
  <c r="K440" i="3"/>
  <c r="E440" i="3"/>
  <c r="B440" i="3"/>
  <c r="U439" i="3"/>
  <c r="K439" i="3"/>
  <c r="E439" i="3"/>
  <c r="B439" i="3"/>
  <c r="U438" i="3"/>
  <c r="K438" i="3"/>
  <c r="E438" i="3"/>
  <c r="B438" i="3"/>
  <c r="U437" i="3"/>
  <c r="K437" i="3"/>
  <c r="E437" i="3"/>
  <c r="B437" i="3"/>
  <c r="U436" i="3"/>
  <c r="K436" i="3"/>
  <c r="E436" i="3"/>
  <c r="B436" i="3"/>
  <c r="U435" i="3"/>
  <c r="K435" i="3"/>
  <c r="E435" i="3"/>
  <c r="B435" i="3"/>
  <c r="U434" i="3"/>
  <c r="K434" i="3"/>
  <c r="E434" i="3"/>
  <c r="B434" i="3"/>
  <c r="U433" i="3"/>
  <c r="K433" i="3"/>
  <c r="E433" i="3"/>
  <c r="B433" i="3"/>
  <c r="U432" i="3"/>
  <c r="K432" i="3"/>
  <c r="E432" i="3"/>
  <c r="B432" i="3"/>
  <c r="U431" i="3"/>
  <c r="K431" i="3"/>
  <c r="E431" i="3"/>
  <c r="B431" i="3"/>
  <c r="U430" i="3"/>
  <c r="K430" i="3"/>
  <c r="E430" i="3"/>
  <c r="B430" i="3"/>
  <c r="U429" i="3"/>
  <c r="K429" i="3"/>
  <c r="E429" i="3"/>
  <c r="B429" i="3"/>
  <c r="U428" i="3"/>
  <c r="K428" i="3"/>
  <c r="E428" i="3"/>
  <c r="B428" i="3"/>
  <c r="U427" i="3"/>
  <c r="K427" i="3"/>
  <c r="E427" i="3"/>
  <c r="B427" i="3"/>
  <c r="U426" i="3"/>
  <c r="K426" i="3"/>
  <c r="E426" i="3"/>
  <c r="B426" i="3"/>
  <c r="U425" i="3"/>
  <c r="K425" i="3"/>
  <c r="E425" i="3"/>
  <c r="B425" i="3"/>
  <c r="U424" i="3"/>
  <c r="K424" i="3"/>
  <c r="E424" i="3"/>
  <c r="B424" i="3"/>
  <c r="U423" i="3"/>
  <c r="K423" i="3"/>
  <c r="E423" i="3"/>
  <c r="B423" i="3"/>
  <c r="U422" i="3"/>
  <c r="K422" i="3"/>
  <c r="E422" i="3"/>
  <c r="B422" i="3"/>
  <c r="U421" i="3"/>
  <c r="K421" i="3"/>
  <c r="E421" i="3"/>
  <c r="B421" i="3"/>
  <c r="U420" i="3"/>
  <c r="K420" i="3"/>
  <c r="E420" i="3"/>
  <c r="B420" i="3"/>
  <c r="U419" i="3"/>
  <c r="K419" i="3"/>
  <c r="E419" i="3"/>
  <c r="B419" i="3"/>
  <c r="U418" i="3"/>
  <c r="K418" i="3"/>
  <c r="E418" i="3"/>
  <c r="B418" i="3"/>
  <c r="U417" i="3"/>
  <c r="K417" i="3"/>
  <c r="E417" i="3"/>
  <c r="B417" i="3"/>
  <c r="U416" i="3"/>
  <c r="K416" i="3"/>
  <c r="E416" i="3"/>
  <c r="B416" i="3"/>
  <c r="U415" i="3"/>
  <c r="K415" i="3"/>
  <c r="E415" i="3"/>
  <c r="B415" i="3"/>
  <c r="U414" i="3"/>
  <c r="K414" i="3"/>
  <c r="E414" i="3"/>
  <c r="B414" i="3"/>
  <c r="U413" i="3"/>
  <c r="K413" i="3"/>
  <c r="E413" i="3"/>
  <c r="B413" i="3"/>
  <c r="U412" i="3"/>
  <c r="K412" i="3"/>
  <c r="E412" i="3"/>
  <c r="B412" i="3"/>
  <c r="U411" i="3"/>
  <c r="K411" i="3"/>
  <c r="E411" i="3"/>
  <c r="B411" i="3"/>
  <c r="U410" i="3"/>
  <c r="K410" i="3"/>
  <c r="E410" i="3"/>
  <c r="B410" i="3"/>
  <c r="U409" i="3"/>
  <c r="K409" i="3"/>
  <c r="E409" i="3"/>
  <c r="B409" i="3"/>
  <c r="U408" i="3"/>
  <c r="K408" i="3"/>
  <c r="E408" i="3"/>
  <c r="B408" i="3"/>
  <c r="U407" i="3"/>
  <c r="K407" i="3"/>
  <c r="E407" i="3"/>
  <c r="B407" i="3"/>
  <c r="U406" i="3"/>
  <c r="K406" i="3"/>
  <c r="E406" i="3"/>
  <c r="B406" i="3"/>
  <c r="U405" i="3"/>
  <c r="K405" i="3"/>
  <c r="E405" i="3"/>
  <c r="B405" i="3"/>
  <c r="U404" i="3"/>
  <c r="K404" i="3"/>
  <c r="E404" i="3"/>
  <c r="B404" i="3"/>
  <c r="U403" i="3"/>
  <c r="K403" i="3"/>
  <c r="E403" i="3"/>
  <c r="B403" i="3"/>
  <c r="U402" i="3"/>
  <c r="K402" i="3"/>
  <c r="E402" i="3"/>
  <c r="B402" i="3"/>
  <c r="U401" i="3"/>
  <c r="K401" i="3"/>
  <c r="E401" i="3"/>
  <c r="B401" i="3"/>
  <c r="U400" i="3"/>
  <c r="K400" i="3"/>
  <c r="E400" i="3"/>
  <c r="B400" i="3"/>
  <c r="U399" i="3"/>
  <c r="K399" i="3"/>
  <c r="E399" i="3"/>
  <c r="B399" i="3"/>
  <c r="U398" i="3"/>
  <c r="K398" i="3"/>
  <c r="E398" i="3"/>
  <c r="B398" i="3"/>
  <c r="U397" i="3"/>
  <c r="K397" i="3"/>
  <c r="E397" i="3"/>
  <c r="B397" i="3"/>
  <c r="U396" i="3"/>
  <c r="K396" i="3"/>
  <c r="E396" i="3"/>
  <c r="B396" i="3"/>
  <c r="U395" i="3"/>
  <c r="K395" i="3"/>
  <c r="E395" i="3"/>
  <c r="B395" i="3"/>
  <c r="U394" i="3"/>
  <c r="K394" i="3"/>
  <c r="E394" i="3"/>
  <c r="B394" i="3"/>
  <c r="U393" i="3"/>
  <c r="K393" i="3"/>
  <c r="E393" i="3"/>
  <c r="B393" i="3"/>
  <c r="U392" i="3"/>
  <c r="K392" i="3"/>
  <c r="E392" i="3"/>
  <c r="B392" i="3"/>
  <c r="U391" i="3"/>
  <c r="K391" i="3"/>
  <c r="E391" i="3"/>
  <c r="B391" i="3"/>
  <c r="U390" i="3"/>
  <c r="K390" i="3"/>
  <c r="E390" i="3"/>
  <c r="B390" i="3"/>
  <c r="U389" i="3"/>
  <c r="K389" i="3"/>
  <c r="E389" i="3"/>
  <c r="B389" i="3"/>
  <c r="U388" i="3"/>
  <c r="K388" i="3"/>
  <c r="E388" i="3"/>
  <c r="B388" i="3"/>
  <c r="U387" i="3"/>
  <c r="K387" i="3"/>
  <c r="E387" i="3"/>
  <c r="B387" i="3"/>
  <c r="U386" i="3"/>
  <c r="K386" i="3"/>
  <c r="E386" i="3"/>
  <c r="B386" i="3"/>
  <c r="U385" i="3"/>
  <c r="K385" i="3"/>
  <c r="E385" i="3"/>
  <c r="B385" i="3"/>
  <c r="U384" i="3"/>
  <c r="K384" i="3"/>
  <c r="E384" i="3"/>
  <c r="B384" i="3"/>
  <c r="U383" i="3"/>
  <c r="K383" i="3"/>
  <c r="E383" i="3"/>
  <c r="B383" i="3"/>
  <c r="U382" i="3"/>
  <c r="K382" i="3"/>
  <c r="E382" i="3"/>
  <c r="B382" i="3"/>
  <c r="K381" i="3"/>
  <c r="E381" i="3"/>
  <c r="B381" i="3"/>
  <c r="U380" i="3"/>
  <c r="K380" i="3"/>
  <c r="E380" i="3"/>
  <c r="B380" i="3"/>
  <c r="U379" i="3"/>
  <c r="K379" i="3"/>
  <c r="H379" i="3"/>
  <c r="E379" i="3"/>
  <c r="B379" i="3"/>
  <c r="U378" i="3"/>
  <c r="K378" i="3"/>
  <c r="E378" i="3"/>
  <c r="B378" i="3"/>
  <c r="U377" i="3"/>
  <c r="K377" i="3"/>
  <c r="E377" i="3"/>
  <c r="B377" i="3"/>
  <c r="U376" i="3"/>
  <c r="K376" i="3"/>
  <c r="E376" i="3"/>
  <c r="B376" i="3"/>
  <c r="U375" i="3"/>
  <c r="K375" i="3"/>
  <c r="E375" i="3"/>
  <c r="B375" i="3"/>
  <c r="U374" i="3"/>
  <c r="K374" i="3"/>
  <c r="E374" i="3"/>
  <c r="B374" i="3"/>
  <c r="U373" i="3"/>
  <c r="K373" i="3"/>
  <c r="E373" i="3"/>
  <c r="B373" i="3"/>
  <c r="U372" i="3"/>
  <c r="K372" i="3"/>
  <c r="E372" i="3"/>
  <c r="B372" i="3"/>
  <c r="U371" i="3"/>
  <c r="K371" i="3"/>
  <c r="E371" i="3"/>
  <c r="B371" i="3"/>
  <c r="U370" i="3"/>
  <c r="K370" i="3"/>
  <c r="E370" i="3"/>
  <c r="B370" i="3"/>
  <c r="U369" i="3"/>
  <c r="K369" i="3"/>
  <c r="E369" i="3"/>
  <c r="B369" i="3"/>
  <c r="U368" i="3"/>
  <c r="K368" i="3"/>
  <c r="E368" i="3"/>
  <c r="B368" i="3"/>
  <c r="U367" i="3"/>
  <c r="K367" i="3"/>
  <c r="E367" i="3"/>
  <c r="B367" i="3"/>
  <c r="U366" i="3"/>
  <c r="K366" i="3"/>
  <c r="E366" i="3"/>
  <c r="B366" i="3"/>
  <c r="U365" i="3"/>
  <c r="K365" i="3"/>
  <c r="E365" i="3"/>
  <c r="B365" i="3"/>
  <c r="U364" i="3"/>
  <c r="K364" i="3"/>
  <c r="E364" i="3"/>
  <c r="B364" i="3"/>
  <c r="U363" i="3"/>
  <c r="K363" i="3"/>
  <c r="E363" i="3"/>
  <c r="B363" i="3"/>
  <c r="U362" i="3"/>
  <c r="K362" i="3"/>
  <c r="E362" i="3"/>
  <c r="B362" i="3"/>
  <c r="U361" i="3"/>
  <c r="K361" i="3"/>
  <c r="E361" i="3"/>
  <c r="B361" i="3"/>
  <c r="U360" i="3"/>
  <c r="K360" i="3"/>
  <c r="E360" i="3"/>
  <c r="B360" i="3"/>
  <c r="U359" i="3"/>
  <c r="K359" i="3"/>
  <c r="E359" i="3"/>
  <c r="B359" i="3"/>
  <c r="U358" i="3"/>
  <c r="K358" i="3"/>
  <c r="E358" i="3"/>
  <c r="B358" i="3"/>
  <c r="U357" i="3"/>
  <c r="K357" i="3"/>
  <c r="E357" i="3"/>
  <c r="B357" i="3"/>
  <c r="U356" i="3"/>
  <c r="K356" i="3"/>
  <c r="E356" i="3"/>
  <c r="B356" i="3"/>
  <c r="U355" i="3"/>
  <c r="K355" i="3"/>
  <c r="E355" i="3"/>
  <c r="B355" i="3"/>
  <c r="U354" i="3"/>
  <c r="K354" i="3"/>
  <c r="E354" i="3"/>
  <c r="B354" i="3"/>
  <c r="U353" i="3"/>
  <c r="K353" i="3"/>
  <c r="E353" i="3"/>
  <c r="B353" i="3"/>
  <c r="U352" i="3"/>
  <c r="K352" i="3"/>
  <c r="E352" i="3"/>
  <c r="B352" i="3"/>
  <c r="U351" i="3"/>
  <c r="K351" i="3"/>
  <c r="E351" i="3"/>
  <c r="B351" i="3"/>
  <c r="U350" i="3"/>
  <c r="K350" i="3"/>
  <c r="E350" i="3"/>
  <c r="B350" i="3"/>
  <c r="U349" i="3"/>
  <c r="K349" i="3"/>
  <c r="E349" i="3"/>
  <c r="B349" i="3"/>
  <c r="U348" i="3"/>
  <c r="K348" i="3"/>
  <c r="E348" i="3"/>
  <c r="B348" i="3"/>
  <c r="U347" i="3"/>
  <c r="K347" i="3"/>
  <c r="E347" i="3"/>
  <c r="B347" i="3"/>
  <c r="U346" i="3"/>
  <c r="K346" i="3"/>
  <c r="E346" i="3"/>
  <c r="B346" i="3"/>
  <c r="U345" i="3"/>
  <c r="K345" i="3"/>
  <c r="E345" i="3"/>
  <c r="B345" i="3"/>
  <c r="U344" i="3"/>
  <c r="K344" i="3"/>
  <c r="E344" i="3"/>
  <c r="B344" i="3"/>
  <c r="U343" i="3"/>
  <c r="K343" i="3"/>
  <c r="E343" i="3"/>
  <c r="B343" i="3"/>
  <c r="U342" i="3"/>
  <c r="K342" i="3"/>
  <c r="E342" i="3"/>
  <c r="B342" i="3"/>
  <c r="U341" i="3"/>
  <c r="K341" i="3"/>
  <c r="E341" i="3"/>
  <c r="B341" i="3"/>
  <c r="U340" i="3"/>
  <c r="K340" i="3"/>
  <c r="E340" i="3"/>
  <c r="B340" i="3"/>
  <c r="U339" i="3"/>
  <c r="K339" i="3"/>
  <c r="E339" i="3"/>
  <c r="B339" i="3"/>
  <c r="U338" i="3"/>
  <c r="K338" i="3"/>
  <c r="E338" i="3"/>
  <c r="B338" i="3"/>
  <c r="U337" i="3"/>
  <c r="K337" i="3"/>
  <c r="E337" i="3"/>
  <c r="B337" i="3"/>
  <c r="U336" i="3"/>
  <c r="K336" i="3"/>
  <c r="E336" i="3"/>
  <c r="B336" i="3"/>
  <c r="U335" i="3"/>
  <c r="K335" i="3"/>
  <c r="E335" i="3"/>
  <c r="B335" i="3"/>
  <c r="U334" i="3"/>
  <c r="K334" i="3"/>
  <c r="E334" i="3"/>
  <c r="B334" i="3"/>
  <c r="U333" i="3"/>
  <c r="K333" i="3"/>
  <c r="E333" i="3"/>
  <c r="B333" i="3"/>
  <c r="U332" i="3"/>
  <c r="K332" i="3"/>
  <c r="E332" i="3"/>
  <c r="B332" i="3"/>
  <c r="U331" i="3"/>
  <c r="K331" i="3"/>
  <c r="E331" i="3"/>
  <c r="B331" i="3"/>
  <c r="U330" i="3"/>
  <c r="K330" i="3"/>
  <c r="E330" i="3"/>
  <c r="B330" i="3"/>
  <c r="U329" i="3"/>
  <c r="K329" i="3"/>
  <c r="E329" i="3"/>
  <c r="B329" i="3"/>
  <c r="U328" i="3"/>
  <c r="K328" i="3"/>
  <c r="E328" i="3"/>
  <c r="B328" i="3"/>
  <c r="U327" i="3"/>
  <c r="K327" i="3"/>
  <c r="E327" i="3"/>
  <c r="B327" i="3"/>
  <c r="U326" i="3"/>
  <c r="K326" i="3"/>
  <c r="E326" i="3"/>
  <c r="B326" i="3"/>
  <c r="U325" i="3"/>
  <c r="K325" i="3"/>
  <c r="E325" i="3"/>
  <c r="B325" i="3"/>
  <c r="U324" i="3"/>
  <c r="K324" i="3"/>
  <c r="E324" i="3"/>
  <c r="B324" i="3"/>
  <c r="U323" i="3"/>
  <c r="K323" i="3"/>
  <c r="E323" i="3"/>
  <c r="B323" i="3"/>
  <c r="U322" i="3"/>
  <c r="K322" i="3"/>
  <c r="E322" i="3"/>
  <c r="B322" i="3"/>
  <c r="U321" i="3"/>
  <c r="K321" i="3"/>
  <c r="E321" i="3"/>
  <c r="B321" i="3"/>
  <c r="U320" i="3"/>
  <c r="K320" i="3"/>
  <c r="E320" i="3"/>
  <c r="B320" i="3"/>
  <c r="U319" i="3"/>
  <c r="K319" i="3"/>
  <c r="E319" i="3"/>
  <c r="B319" i="3"/>
  <c r="U318" i="3"/>
  <c r="K318" i="3"/>
  <c r="E318" i="3"/>
  <c r="B318" i="3"/>
  <c r="U317" i="3"/>
  <c r="K317" i="3"/>
  <c r="E317" i="3"/>
  <c r="B317" i="3"/>
  <c r="U316" i="3"/>
  <c r="K316" i="3"/>
  <c r="E316" i="3"/>
  <c r="B316" i="3"/>
  <c r="U315" i="3"/>
  <c r="K315" i="3"/>
  <c r="E315" i="3"/>
  <c r="B315" i="3"/>
  <c r="U314" i="3"/>
  <c r="K314" i="3"/>
  <c r="E314" i="3"/>
  <c r="B314" i="3"/>
  <c r="U313" i="3"/>
  <c r="K313" i="3"/>
  <c r="E313" i="3"/>
  <c r="B313" i="3"/>
  <c r="U312" i="3"/>
  <c r="K312" i="3"/>
  <c r="E312" i="3"/>
  <c r="B312" i="3"/>
  <c r="U311" i="3"/>
  <c r="K311" i="3"/>
  <c r="E311" i="3"/>
  <c r="B311" i="3"/>
  <c r="U310" i="3"/>
  <c r="K310" i="3"/>
  <c r="E310" i="3"/>
  <c r="B310" i="3"/>
  <c r="U309" i="3"/>
  <c r="K309" i="3"/>
  <c r="E309" i="3"/>
  <c r="B309" i="3"/>
  <c r="U308" i="3"/>
  <c r="K308" i="3"/>
  <c r="E308" i="3"/>
  <c r="B308" i="3"/>
  <c r="U307" i="3"/>
  <c r="K307" i="3"/>
  <c r="E307" i="3"/>
  <c r="B307" i="3"/>
  <c r="U306" i="3"/>
  <c r="K306" i="3"/>
  <c r="E306" i="3"/>
  <c r="B306" i="3"/>
  <c r="U305" i="3"/>
  <c r="K305" i="3"/>
  <c r="E305" i="3"/>
  <c r="B305" i="3"/>
  <c r="U304" i="3"/>
  <c r="K304" i="3"/>
  <c r="E304" i="3"/>
  <c r="B304" i="3"/>
  <c r="U303" i="3"/>
  <c r="K303" i="3"/>
  <c r="E303" i="3"/>
  <c r="B303" i="3"/>
  <c r="U302" i="3"/>
  <c r="K302" i="3"/>
  <c r="E302" i="3"/>
  <c r="B302" i="3"/>
  <c r="U301" i="3"/>
  <c r="K301" i="3"/>
  <c r="E301" i="3"/>
  <c r="B301" i="3"/>
  <c r="U300" i="3"/>
  <c r="K300" i="3"/>
  <c r="E300" i="3"/>
  <c r="B300" i="3"/>
  <c r="U299" i="3"/>
  <c r="K299" i="3"/>
  <c r="E299" i="3"/>
  <c r="B299" i="3"/>
  <c r="U298" i="3"/>
  <c r="K298" i="3"/>
  <c r="E298" i="3"/>
  <c r="B298" i="3"/>
  <c r="U297" i="3"/>
  <c r="K297" i="3"/>
  <c r="E297" i="3"/>
  <c r="B297" i="3"/>
  <c r="U296" i="3"/>
  <c r="K296" i="3"/>
  <c r="E296" i="3"/>
  <c r="B296" i="3"/>
  <c r="U295" i="3"/>
  <c r="K295" i="3"/>
  <c r="E295" i="3"/>
  <c r="B295" i="3"/>
  <c r="U294" i="3"/>
  <c r="K294" i="3"/>
  <c r="E294" i="3"/>
  <c r="B294" i="3"/>
  <c r="U293" i="3"/>
  <c r="K293" i="3"/>
  <c r="E293" i="3"/>
  <c r="B293" i="3"/>
  <c r="U292" i="3"/>
  <c r="K292" i="3"/>
  <c r="E292" i="3"/>
  <c r="B292" i="3"/>
  <c r="U291" i="3"/>
  <c r="K291" i="3"/>
  <c r="E291" i="3"/>
  <c r="B291" i="3"/>
  <c r="U290" i="3"/>
  <c r="K290" i="3"/>
  <c r="E290" i="3"/>
  <c r="B290" i="3"/>
  <c r="U289" i="3"/>
  <c r="K289" i="3"/>
  <c r="E289" i="3"/>
  <c r="B289" i="3"/>
  <c r="U288" i="3"/>
  <c r="K288" i="3"/>
  <c r="E288" i="3"/>
  <c r="B288" i="3"/>
  <c r="U287" i="3"/>
  <c r="K287" i="3"/>
  <c r="E287" i="3"/>
  <c r="B287" i="3"/>
  <c r="U286" i="3"/>
  <c r="K286" i="3"/>
  <c r="E286" i="3"/>
  <c r="B286" i="3"/>
  <c r="U285" i="3"/>
  <c r="K285" i="3"/>
  <c r="E285" i="3"/>
  <c r="B285" i="3"/>
  <c r="U284" i="3"/>
  <c r="K284" i="3"/>
  <c r="E284" i="3"/>
  <c r="B284" i="3"/>
  <c r="U283" i="3"/>
  <c r="K283" i="3"/>
  <c r="E283" i="3"/>
  <c r="B283" i="3"/>
  <c r="U282" i="3"/>
  <c r="K282" i="3"/>
  <c r="E282" i="3"/>
  <c r="B282" i="3"/>
  <c r="U281" i="3"/>
  <c r="K281" i="3"/>
  <c r="E281" i="3"/>
  <c r="B281" i="3"/>
  <c r="U280" i="3"/>
  <c r="K280" i="3"/>
  <c r="E280" i="3"/>
  <c r="B280" i="3"/>
  <c r="U279" i="3"/>
  <c r="K279" i="3"/>
  <c r="E279" i="3"/>
  <c r="B279" i="3"/>
  <c r="U278" i="3"/>
  <c r="K278" i="3"/>
  <c r="E278" i="3"/>
  <c r="B278" i="3"/>
  <c r="U277" i="3"/>
  <c r="K277" i="3"/>
  <c r="E277" i="3"/>
  <c r="B277" i="3"/>
  <c r="U276" i="3"/>
  <c r="K276" i="3"/>
  <c r="E276" i="3"/>
  <c r="B276" i="3"/>
  <c r="U275" i="3"/>
  <c r="K275" i="3"/>
  <c r="E275" i="3"/>
  <c r="B275" i="3"/>
  <c r="U274" i="3"/>
  <c r="K274" i="3"/>
  <c r="E274" i="3"/>
  <c r="B274" i="3"/>
  <c r="U273" i="3"/>
  <c r="K273" i="3"/>
  <c r="E273" i="3"/>
  <c r="B273" i="3"/>
  <c r="U272" i="3"/>
  <c r="K272" i="3"/>
  <c r="E272" i="3"/>
  <c r="B272" i="3"/>
  <c r="U271" i="3"/>
  <c r="K271" i="3"/>
  <c r="E271" i="3"/>
  <c r="B271" i="3"/>
  <c r="U270" i="3"/>
  <c r="K270" i="3"/>
  <c r="E270" i="3"/>
  <c r="B270" i="3"/>
  <c r="U269" i="3"/>
  <c r="K269" i="3"/>
  <c r="E269" i="3"/>
  <c r="B269" i="3"/>
  <c r="U268" i="3"/>
  <c r="K268" i="3"/>
  <c r="E268" i="3"/>
  <c r="B268" i="3"/>
  <c r="U267" i="3"/>
  <c r="K267" i="3"/>
  <c r="E267" i="3"/>
  <c r="B267" i="3"/>
  <c r="U266" i="3"/>
  <c r="K266" i="3"/>
  <c r="E266" i="3"/>
  <c r="B266" i="3"/>
  <c r="U265" i="3"/>
  <c r="K265" i="3"/>
  <c r="E265" i="3"/>
  <c r="B265" i="3"/>
  <c r="U264" i="3"/>
  <c r="K264" i="3"/>
  <c r="E264" i="3"/>
  <c r="B264" i="3"/>
  <c r="U263" i="3"/>
  <c r="K263" i="3"/>
  <c r="E263" i="3"/>
  <c r="B263" i="3"/>
  <c r="U262" i="3"/>
  <c r="K262" i="3"/>
  <c r="E262" i="3"/>
  <c r="B262" i="3"/>
  <c r="U261" i="3"/>
  <c r="K261" i="3"/>
  <c r="E261" i="3"/>
  <c r="B261" i="3"/>
  <c r="U260" i="3"/>
  <c r="K260" i="3"/>
  <c r="E260" i="3"/>
  <c r="B260" i="3"/>
  <c r="U259" i="3"/>
  <c r="K259" i="3"/>
  <c r="E259" i="3"/>
  <c r="B259" i="3"/>
  <c r="U258" i="3"/>
  <c r="K258" i="3"/>
  <c r="E258" i="3"/>
  <c r="B258" i="3"/>
  <c r="U257" i="3"/>
  <c r="K257" i="3"/>
  <c r="E257" i="3"/>
  <c r="B257" i="3"/>
  <c r="U256" i="3"/>
  <c r="K256" i="3"/>
  <c r="E256" i="3"/>
  <c r="B256" i="3"/>
  <c r="U255" i="3"/>
  <c r="K255" i="3"/>
  <c r="E255" i="3"/>
  <c r="B255" i="3"/>
  <c r="U254" i="3"/>
  <c r="K254" i="3"/>
  <c r="E254" i="3"/>
  <c r="B254" i="3"/>
  <c r="U253" i="3"/>
  <c r="K253" i="3"/>
  <c r="E253" i="3"/>
  <c r="B253" i="3"/>
  <c r="U252" i="3"/>
  <c r="K252" i="3"/>
  <c r="E252" i="3"/>
  <c r="B252" i="3"/>
  <c r="U251" i="3"/>
  <c r="K251" i="3"/>
  <c r="E251" i="3"/>
  <c r="B251" i="3"/>
  <c r="U250" i="3"/>
  <c r="K250" i="3"/>
  <c r="E250" i="3"/>
  <c r="B250" i="3"/>
  <c r="U249" i="3"/>
  <c r="K249" i="3"/>
  <c r="E249" i="3"/>
  <c r="B249" i="3"/>
  <c r="U248" i="3"/>
  <c r="K248" i="3"/>
  <c r="E248" i="3"/>
  <c r="B248" i="3"/>
  <c r="U247" i="3"/>
  <c r="K247" i="3"/>
  <c r="E247" i="3"/>
  <c r="B247" i="3"/>
  <c r="U246" i="3"/>
  <c r="K246" i="3"/>
  <c r="E246" i="3"/>
  <c r="B246" i="3"/>
  <c r="U245" i="3"/>
  <c r="K245" i="3"/>
  <c r="E245" i="3"/>
  <c r="B245" i="3"/>
  <c r="U244" i="3"/>
  <c r="K244" i="3"/>
  <c r="E244" i="3"/>
  <c r="B244" i="3"/>
  <c r="U243" i="3"/>
  <c r="K243" i="3"/>
  <c r="E243" i="3"/>
  <c r="B243" i="3"/>
  <c r="U242" i="3"/>
  <c r="K242" i="3"/>
  <c r="E242" i="3"/>
  <c r="B242" i="3"/>
  <c r="U241" i="3"/>
  <c r="K241" i="3"/>
  <c r="E241" i="3"/>
  <c r="B241" i="3"/>
  <c r="U240" i="3"/>
  <c r="K240" i="3"/>
  <c r="E240" i="3"/>
  <c r="B240" i="3"/>
  <c r="U239" i="3"/>
  <c r="K239" i="3"/>
  <c r="E239" i="3"/>
  <c r="B239" i="3"/>
  <c r="U238" i="3"/>
  <c r="K238" i="3"/>
  <c r="E238" i="3"/>
  <c r="B238" i="3"/>
  <c r="U237" i="3"/>
  <c r="K237" i="3"/>
  <c r="E237" i="3"/>
  <c r="B237" i="3"/>
  <c r="U236" i="3"/>
  <c r="K236" i="3"/>
  <c r="E236" i="3"/>
  <c r="B236" i="3"/>
  <c r="U235" i="3"/>
  <c r="K235" i="3"/>
  <c r="E235" i="3"/>
  <c r="B235" i="3"/>
  <c r="U234" i="3"/>
  <c r="K234" i="3"/>
  <c r="E234" i="3"/>
  <c r="B234" i="3"/>
  <c r="U233" i="3"/>
  <c r="K233" i="3"/>
  <c r="E233" i="3"/>
  <c r="B233" i="3"/>
  <c r="U232" i="3"/>
  <c r="K232" i="3"/>
  <c r="E232" i="3"/>
  <c r="B232" i="3"/>
  <c r="U231" i="3"/>
  <c r="K231" i="3"/>
  <c r="E231" i="3"/>
  <c r="B231" i="3"/>
  <c r="U230" i="3"/>
  <c r="K230" i="3"/>
  <c r="E230" i="3"/>
  <c r="B230" i="3"/>
  <c r="U229" i="3"/>
  <c r="K229" i="3"/>
  <c r="E229" i="3"/>
  <c r="B229" i="3"/>
  <c r="U228" i="3"/>
  <c r="K228" i="3"/>
  <c r="E228" i="3"/>
  <c r="B228" i="3"/>
  <c r="U227" i="3"/>
  <c r="K227" i="3"/>
  <c r="E227" i="3"/>
  <c r="B227" i="3"/>
  <c r="U226" i="3"/>
  <c r="K226" i="3"/>
  <c r="E226" i="3"/>
  <c r="B226" i="3"/>
  <c r="U225" i="3"/>
  <c r="K225" i="3"/>
  <c r="E225" i="3"/>
  <c r="B225" i="3"/>
  <c r="U224" i="3"/>
  <c r="K224" i="3"/>
  <c r="E224" i="3"/>
  <c r="B224" i="3"/>
  <c r="U223" i="3"/>
  <c r="K223" i="3"/>
  <c r="E223" i="3"/>
  <c r="B223" i="3"/>
  <c r="U222" i="3"/>
  <c r="K222" i="3"/>
  <c r="E222" i="3"/>
  <c r="B222" i="3"/>
  <c r="U221" i="3"/>
  <c r="K221" i="3"/>
  <c r="E221" i="3"/>
  <c r="B221" i="3"/>
  <c r="U220" i="3"/>
  <c r="K220" i="3"/>
  <c r="E220" i="3"/>
  <c r="B220" i="3"/>
  <c r="U219" i="3"/>
  <c r="K219" i="3"/>
  <c r="E219" i="3"/>
  <c r="B219" i="3"/>
  <c r="U218" i="3"/>
  <c r="K218" i="3"/>
  <c r="E218" i="3"/>
  <c r="B218" i="3"/>
  <c r="U217" i="3"/>
  <c r="K217" i="3"/>
  <c r="E217" i="3"/>
  <c r="B217" i="3"/>
  <c r="U216" i="3"/>
  <c r="K216" i="3"/>
  <c r="E216" i="3"/>
  <c r="B216" i="3"/>
  <c r="U215" i="3"/>
  <c r="K215" i="3"/>
  <c r="E215" i="3"/>
  <c r="B215" i="3"/>
  <c r="U214" i="3"/>
  <c r="K214" i="3"/>
  <c r="E214" i="3"/>
  <c r="B214" i="3"/>
  <c r="U213" i="3"/>
  <c r="K213" i="3"/>
  <c r="E213" i="3"/>
  <c r="B213" i="3"/>
  <c r="U212" i="3"/>
  <c r="K212" i="3"/>
  <c r="E212" i="3"/>
  <c r="B212" i="3"/>
  <c r="U211" i="3"/>
  <c r="K211" i="3"/>
  <c r="E211" i="3"/>
  <c r="B211" i="3"/>
  <c r="U210" i="3"/>
  <c r="K210" i="3"/>
  <c r="E210" i="3"/>
  <c r="B210" i="3"/>
  <c r="U209" i="3"/>
  <c r="K209" i="3"/>
  <c r="E209" i="3"/>
  <c r="B209" i="3"/>
  <c r="U208" i="3"/>
  <c r="K208" i="3"/>
  <c r="E208" i="3"/>
  <c r="B208" i="3"/>
  <c r="K207" i="3"/>
  <c r="E207" i="3"/>
  <c r="B207" i="3"/>
  <c r="U206" i="3"/>
  <c r="K206" i="3"/>
  <c r="E206" i="3"/>
  <c r="B206" i="3"/>
  <c r="U205" i="3"/>
  <c r="K205" i="3"/>
  <c r="E205" i="3"/>
  <c r="B205" i="3"/>
  <c r="U204" i="3"/>
  <c r="K204" i="3"/>
  <c r="E204" i="3"/>
  <c r="B204" i="3"/>
  <c r="U203" i="3"/>
  <c r="K203" i="3"/>
  <c r="E203" i="3"/>
  <c r="B203" i="3"/>
  <c r="U202" i="3"/>
  <c r="K202" i="3"/>
  <c r="E202" i="3"/>
  <c r="B202" i="3"/>
  <c r="U201" i="3"/>
  <c r="K201" i="3"/>
  <c r="E201" i="3"/>
  <c r="B201" i="3"/>
  <c r="U200" i="3"/>
  <c r="K200" i="3"/>
  <c r="E200" i="3"/>
  <c r="B200" i="3"/>
  <c r="U199" i="3"/>
  <c r="K199" i="3"/>
  <c r="E199" i="3"/>
  <c r="B199" i="3"/>
  <c r="U198" i="3"/>
  <c r="K198" i="3"/>
  <c r="E198" i="3"/>
  <c r="B198" i="3"/>
  <c r="U197" i="3"/>
  <c r="K197" i="3"/>
  <c r="E197" i="3"/>
  <c r="B197" i="3"/>
  <c r="U196" i="3"/>
  <c r="K196" i="3"/>
  <c r="E196" i="3"/>
  <c r="B196" i="3"/>
  <c r="U195" i="3"/>
  <c r="K195" i="3"/>
  <c r="E195" i="3"/>
  <c r="B195" i="3"/>
  <c r="U194" i="3"/>
  <c r="K194" i="3"/>
  <c r="E194" i="3"/>
  <c r="B194" i="3"/>
  <c r="U193" i="3"/>
  <c r="K193" i="3"/>
  <c r="E193" i="3"/>
  <c r="B193" i="3"/>
  <c r="U192" i="3"/>
  <c r="K192" i="3"/>
  <c r="E192" i="3"/>
  <c r="B192" i="3"/>
  <c r="U191" i="3"/>
  <c r="K191" i="3"/>
  <c r="E191" i="3"/>
  <c r="B191" i="3"/>
  <c r="U190" i="3"/>
  <c r="K190" i="3"/>
  <c r="E190" i="3"/>
  <c r="B190" i="3"/>
  <c r="U189" i="3"/>
  <c r="K189" i="3"/>
  <c r="E189" i="3"/>
  <c r="B189" i="3"/>
  <c r="U188" i="3"/>
  <c r="K188" i="3"/>
  <c r="E188" i="3"/>
  <c r="B188" i="3"/>
  <c r="U187" i="3"/>
  <c r="K187" i="3"/>
  <c r="E187" i="3"/>
  <c r="B187" i="3"/>
  <c r="U186" i="3"/>
  <c r="K186" i="3"/>
  <c r="E186" i="3"/>
  <c r="B186" i="3"/>
  <c r="U185" i="3"/>
  <c r="K185" i="3"/>
  <c r="E185" i="3"/>
  <c r="B185" i="3"/>
  <c r="U184" i="3"/>
  <c r="K184" i="3"/>
  <c r="E184" i="3"/>
  <c r="B184" i="3"/>
  <c r="U183" i="3"/>
  <c r="K183" i="3"/>
  <c r="E183" i="3"/>
  <c r="B183" i="3"/>
  <c r="U182" i="3"/>
  <c r="K182" i="3"/>
  <c r="E182" i="3"/>
  <c r="B182" i="3"/>
  <c r="U181" i="3"/>
  <c r="K181" i="3"/>
  <c r="E181" i="3"/>
  <c r="B181" i="3"/>
  <c r="U180" i="3"/>
  <c r="K180" i="3"/>
  <c r="E180" i="3"/>
  <c r="B180" i="3"/>
  <c r="U179" i="3"/>
  <c r="K179" i="3"/>
  <c r="E179" i="3"/>
  <c r="B179" i="3"/>
  <c r="U178" i="3"/>
  <c r="K178" i="3"/>
  <c r="E178" i="3"/>
  <c r="B178" i="3"/>
  <c r="U177" i="3"/>
  <c r="K177" i="3"/>
  <c r="E177" i="3"/>
  <c r="B177" i="3"/>
  <c r="U176" i="3"/>
  <c r="K176" i="3"/>
  <c r="E176" i="3"/>
  <c r="B176" i="3"/>
  <c r="U175" i="3"/>
  <c r="K175" i="3"/>
  <c r="E175" i="3"/>
  <c r="B175" i="3"/>
  <c r="U174" i="3"/>
  <c r="K174" i="3"/>
  <c r="E174" i="3"/>
  <c r="B174" i="3"/>
  <c r="U173" i="3"/>
  <c r="K173" i="3"/>
  <c r="E173" i="3"/>
  <c r="B173" i="3"/>
  <c r="U172" i="3"/>
  <c r="K172" i="3"/>
  <c r="E172" i="3"/>
  <c r="B172" i="3"/>
  <c r="U171" i="3"/>
  <c r="K171" i="3"/>
  <c r="E171" i="3"/>
  <c r="B171" i="3"/>
  <c r="U170" i="3"/>
  <c r="K170" i="3"/>
  <c r="E170" i="3"/>
  <c r="B170" i="3"/>
  <c r="U169" i="3"/>
  <c r="K169" i="3"/>
  <c r="E169" i="3"/>
  <c r="B169" i="3"/>
  <c r="U168" i="3"/>
  <c r="K168" i="3"/>
  <c r="E168" i="3"/>
  <c r="B168" i="3"/>
  <c r="U167" i="3"/>
  <c r="K167" i="3"/>
  <c r="E167" i="3"/>
  <c r="B167" i="3"/>
  <c r="U166" i="3"/>
  <c r="K166" i="3"/>
  <c r="E166" i="3"/>
  <c r="B166" i="3"/>
  <c r="U165" i="3"/>
  <c r="K165" i="3"/>
  <c r="E165" i="3"/>
  <c r="B165" i="3"/>
  <c r="U164" i="3"/>
  <c r="K164" i="3"/>
  <c r="E164" i="3"/>
  <c r="B164" i="3"/>
  <c r="U163" i="3"/>
  <c r="K163" i="3"/>
  <c r="E163" i="3"/>
  <c r="B163" i="3"/>
  <c r="U162" i="3"/>
  <c r="K162" i="3"/>
  <c r="E162" i="3"/>
  <c r="B162" i="3"/>
  <c r="U161" i="3"/>
  <c r="K161" i="3"/>
  <c r="E161" i="3"/>
  <c r="B161" i="3"/>
  <c r="U160" i="3"/>
  <c r="K160" i="3"/>
  <c r="E160" i="3"/>
  <c r="B160" i="3"/>
  <c r="U159" i="3"/>
  <c r="K159" i="3"/>
  <c r="E159" i="3"/>
  <c r="B159" i="3"/>
  <c r="U158" i="3"/>
  <c r="K158" i="3"/>
  <c r="E158" i="3"/>
  <c r="B158" i="3"/>
  <c r="U157" i="3"/>
  <c r="K157" i="3"/>
  <c r="E157" i="3"/>
  <c r="B157" i="3"/>
  <c r="U156" i="3"/>
  <c r="K156" i="3"/>
  <c r="E156" i="3"/>
  <c r="B156" i="3"/>
  <c r="U155" i="3"/>
  <c r="K155" i="3"/>
  <c r="E155" i="3"/>
  <c r="B155" i="3"/>
  <c r="U154" i="3"/>
  <c r="K154" i="3"/>
  <c r="E154" i="3"/>
  <c r="B154" i="3"/>
  <c r="U153" i="3"/>
  <c r="K153" i="3"/>
  <c r="E153" i="3"/>
  <c r="B153" i="3"/>
  <c r="U152" i="3"/>
  <c r="K152" i="3"/>
  <c r="E152" i="3"/>
  <c r="B152" i="3"/>
  <c r="U151" i="3"/>
  <c r="K151" i="3"/>
  <c r="E151" i="3"/>
  <c r="B151" i="3"/>
  <c r="U150" i="3"/>
  <c r="K150" i="3"/>
  <c r="E150" i="3"/>
  <c r="B150" i="3"/>
  <c r="U149" i="3"/>
  <c r="K149" i="3"/>
  <c r="E149" i="3"/>
  <c r="B149" i="3"/>
  <c r="U148" i="3"/>
  <c r="K148" i="3"/>
  <c r="E148" i="3"/>
  <c r="B148" i="3"/>
  <c r="U147" i="3"/>
  <c r="K147" i="3"/>
  <c r="E147" i="3"/>
  <c r="B147" i="3"/>
  <c r="U146" i="3"/>
  <c r="K146" i="3"/>
  <c r="E146" i="3"/>
  <c r="B146" i="3"/>
  <c r="U145" i="3"/>
  <c r="K145" i="3"/>
  <c r="E145" i="3"/>
  <c r="B145" i="3"/>
  <c r="U144" i="3"/>
  <c r="K144" i="3"/>
  <c r="E144" i="3"/>
  <c r="B144" i="3"/>
  <c r="U143" i="3"/>
  <c r="K143" i="3"/>
  <c r="E143" i="3"/>
  <c r="B143" i="3"/>
  <c r="U142" i="3"/>
  <c r="K142" i="3"/>
  <c r="E142" i="3"/>
  <c r="B142" i="3"/>
  <c r="U141" i="3"/>
  <c r="K141" i="3"/>
  <c r="E141" i="3"/>
  <c r="B141" i="3"/>
  <c r="U140" i="3"/>
  <c r="K140" i="3"/>
  <c r="E140" i="3"/>
  <c r="B140" i="3"/>
  <c r="U139" i="3"/>
  <c r="K139" i="3"/>
  <c r="E139" i="3"/>
  <c r="B139" i="3"/>
  <c r="U138" i="3"/>
  <c r="K138" i="3"/>
  <c r="E138" i="3"/>
  <c r="B138" i="3"/>
  <c r="U137" i="3"/>
  <c r="K137" i="3"/>
  <c r="E137" i="3"/>
  <c r="B137" i="3"/>
  <c r="U136" i="3"/>
  <c r="K136" i="3"/>
  <c r="E136" i="3"/>
  <c r="B136" i="3"/>
  <c r="U135" i="3"/>
  <c r="K135" i="3"/>
  <c r="E135" i="3"/>
  <c r="B135" i="3"/>
  <c r="U134" i="3"/>
  <c r="K134" i="3"/>
  <c r="E134" i="3"/>
  <c r="B134" i="3"/>
  <c r="U133" i="3"/>
  <c r="K133" i="3"/>
  <c r="E133" i="3"/>
  <c r="B133" i="3"/>
  <c r="U132" i="3"/>
  <c r="K132" i="3"/>
  <c r="E132" i="3"/>
  <c r="B132" i="3"/>
  <c r="K131" i="3"/>
  <c r="E131" i="3"/>
  <c r="B131" i="3"/>
  <c r="U130" i="3"/>
  <c r="K130" i="3"/>
  <c r="E130" i="3"/>
  <c r="B130" i="3"/>
  <c r="U129" i="3"/>
  <c r="K129" i="3"/>
  <c r="E129" i="3"/>
  <c r="B129" i="3"/>
  <c r="U128" i="3"/>
  <c r="K128" i="3"/>
  <c r="E128" i="3"/>
  <c r="B128" i="3"/>
  <c r="U127" i="3"/>
  <c r="K127" i="3"/>
  <c r="E127" i="3"/>
  <c r="B127" i="3"/>
  <c r="U126" i="3"/>
  <c r="K126" i="3"/>
  <c r="E126" i="3"/>
  <c r="B126" i="3"/>
  <c r="U125" i="3"/>
  <c r="K125" i="3"/>
  <c r="E125" i="3"/>
  <c r="B125" i="3"/>
  <c r="U124" i="3"/>
  <c r="K124" i="3"/>
  <c r="E124" i="3"/>
  <c r="B124" i="3"/>
  <c r="U123" i="3"/>
  <c r="K123" i="3"/>
  <c r="E123" i="3"/>
  <c r="B123" i="3"/>
  <c r="U122" i="3"/>
  <c r="K122" i="3"/>
  <c r="E122" i="3"/>
  <c r="B122" i="3"/>
  <c r="U121" i="3"/>
  <c r="K121" i="3"/>
  <c r="E121" i="3"/>
  <c r="B121" i="3"/>
  <c r="U120" i="3"/>
  <c r="K120" i="3"/>
  <c r="E120" i="3"/>
  <c r="B120" i="3"/>
  <c r="U119" i="3"/>
  <c r="K119" i="3"/>
  <c r="E119" i="3"/>
  <c r="B119" i="3"/>
  <c r="U118" i="3"/>
  <c r="K118" i="3"/>
  <c r="E118" i="3"/>
  <c r="B118" i="3"/>
  <c r="U117" i="3"/>
  <c r="K117" i="3"/>
  <c r="E117" i="3"/>
  <c r="B117" i="3"/>
  <c r="U116" i="3"/>
  <c r="K116" i="3"/>
  <c r="E116" i="3"/>
  <c r="B116" i="3"/>
  <c r="U115" i="3"/>
  <c r="K115" i="3"/>
  <c r="E115" i="3"/>
  <c r="B115" i="3"/>
  <c r="U114" i="3"/>
  <c r="K114" i="3"/>
  <c r="E114" i="3"/>
  <c r="B114" i="3"/>
  <c r="U113" i="3"/>
  <c r="K113" i="3"/>
  <c r="E113" i="3"/>
  <c r="B113" i="3"/>
  <c r="U112" i="3"/>
  <c r="K112" i="3"/>
  <c r="E112" i="3"/>
  <c r="B112" i="3"/>
  <c r="U111" i="3"/>
  <c r="K111" i="3"/>
  <c r="E111" i="3"/>
  <c r="B111" i="3"/>
  <c r="U110" i="3"/>
  <c r="K110" i="3"/>
  <c r="E110" i="3"/>
  <c r="B110" i="3"/>
  <c r="U109" i="3"/>
  <c r="K109" i="3"/>
  <c r="E109" i="3"/>
  <c r="B109" i="3"/>
  <c r="U108" i="3"/>
  <c r="K108" i="3"/>
  <c r="E108" i="3"/>
  <c r="B108" i="3"/>
  <c r="U107" i="3"/>
  <c r="K107" i="3"/>
  <c r="E107" i="3"/>
  <c r="B107" i="3"/>
  <c r="U106" i="3"/>
  <c r="K106" i="3"/>
  <c r="E106" i="3"/>
  <c r="B106" i="3"/>
  <c r="U105" i="3"/>
  <c r="K105" i="3"/>
  <c r="E105" i="3"/>
  <c r="B105" i="3"/>
  <c r="U104" i="3"/>
  <c r="K104" i="3"/>
  <c r="E104" i="3"/>
  <c r="B104" i="3"/>
  <c r="U103" i="3"/>
  <c r="K103" i="3"/>
  <c r="E103" i="3"/>
  <c r="B103" i="3"/>
  <c r="U102" i="3"/>
  <c r="K102" i="3"/>
  <c r="E102" i="3"/>
  <c r="B102" i="3"/>
  <c r="U101" i="3"/>
  <c r="K101" i="3"/>
  <c r="E101" i="3"/>
  <c r="B101" i="3"/>
  <c r="U100" i="3"/>
  <c r="K100" i="3"/>
  <c r="E100" i="3"/>
  <c r="B100" i="3"/>
  <c r="U99" i="3"/>
  <c r="K99" i="3"/>
  <c r="E99" i="3"/>
  <c r="B99" i="3"/>
  <c r="U98" i="3"/>
  <c r="K98" i="3"/>
  <c r="E98" i="3"/>
  <c r="B98" i="3"/>
  <c r="U97" i="3"/>
  <c r="K97" i="3"/>
  <c r="E97" i="3"/>
  <c r="B97" i="3"/>
  <c r="U96" i="3"/>
  <c r="K96" i="3"/>
  <c r="E96" i="3"/>
  <c r="B96" i="3"/>
  <c r="U95" i="3"/>
  <c r="K95" i="3"/>
  <c r="E95" i="3"/>
  <c r="B95" i="3"/>
  <c r="U94" i="3"/>
  <c r="K94" i="3"/>
  <c r="E94" i="3"/>
  <c r="B94" i="3"/>
  <c r="U93" i="3"/>
  <c r="K93" i="3"/>
  <c r="E93" i="3"/>
  <c r="B93" i="3"/>
  <c r="U92" i="3"/>
  <c r="K92" i="3"/>
  <c r="E92" i="3"/>
  <c r="B92" i="3"/>
  <c r="U91" i="3"/>
  <c r="K91" i="3"/>
  <c r="E91" i="3"/>
  <c r="B91" i="3"/>
  <c r="U90" i="3"/>
  <c r="K90" i="3"/>
  <c r="E90" i="3"/>
  <c r="B90" i="3"/>
  <c r="U89" i="3"/>
  <c r="K89" i="3"/>
  <c r="E89" i="3"/>
  <c r="B89" i="3"/>
  <c r="U88" i="3"/>
  <c r="K88" i="3"/>
  <c r="E88" i="3"/>
  <c r="B88" i="3"/>
  <c r="U87" i="3"/>
  <c r="K87" i="3"/>
  <c r="E87" i="3"/>
  <c r="B87" i="3"/>
  <c r="U86" i="3"/>
  <c r="K86" i="3"/>
  <c r="E86" i="3"/>
  <c r="B86" i="3"/>
  <c r="U85" i="3"/>
  <c r="K85" i="3"/>
  <c r="E85" i="3"/>
  <c r="B85" i="3"/>
  <c r="U84" i="3"/>
  <c r="K84" i="3"/>
  <c r="E84" i="3"/>
  <c r="B84" i="3"/>
  <c r="U83" i="3"/>
  <c r="K83" i="3"/>
  <c r="E83" i="3"/>
  <c r="B83" i="3"/>
  <c r="U82" i="3"/>
  <c r="K82" i="3"/>
  <c r="E82" i="3"/>
  <c r="B82" i="3"/>
  <c r="U81" i="3"/>
  <c r="K81" i="3"/>
  <c r="E81" i="3"/>
  <c r="B81" i="3"/>
  <c r="U80" i="3"/>
  <c r="K80" i="3"/>
  <c r="E80" i="3"/>
  <c r="B80" i="3"/>
  <c r="U79" i="3"/>
  <c r="K79" i="3"/>
  <c r="E79" i="3"/>
  <c r="B79" i="3"/>
  <c r="U78" i="3"/>
  <c r="K78" i="3"/>
  <c r="E78" i="3"/>
  <c r="B78" i="3"/>
  <c r="U77" i="3"/>
  <c r="K77" i="3"/>
  <c r="E77" i="3"/>
  <c r="B77" i="3"/>
  <c r="U76" i="3"/>
  <c r="K76" i="3"/>
  <c r="E76" i="3"/>
  <c r="B76" i="3"/>
  <c r="U75" i="3"/>
  <c r="K75" i="3"/>
  <c r="E75" i="3"/>
  <c r="B75" i="3"/>
  <c r="U74" i="3"/>
  <c r="K74" i="3"/>
  <c r="E74" i="3"/>
  <c r="B74" i="3"/>
  <c r="U73" i="3"/>
  <c r="K73" i="3"/>
  <c r="E73" i="3"/>
  <c r="B73" i="3"/>
  <c r="U72" i="3"/>
  <c r="K72" i="3"/>
  <c r="E72" i="3"/>
  <c r="B72" i="3"/>
  <c r="U71" i="3"/>
  <c r="K71" i="3"/>
  <c r="E71" i="3"/>
  <c r="B71" i="3"/>
  <c r="U70" i="3"/>
  <c r="K70" i="3"/>
  <c r="E70" i="3"/>
  <c r="B70" i="3"/>
  <c r="U69" i="3"/>
  <c r="K69" i="3"/>
  <c r="E69" i="3"/>
  <c r="B69" i="3"/>
  <c r="U68" i="3"/>
  <c r="K68" i="3"/>
  <c r="E68" i="3"/>
  <c r="B68" i="3"/>
  <c r="U67" i="3"/>
  <c r="K67" i="3"/>
  <c r="E67" i="3"/>
  <c r="B67" i="3"/>
  <c r="U66" i="3"/>
  <c r="K66" i="3"/>
  <c r="E66" i="3"/>
  <c r="B66" i="3"/>
  <c r="U65" i="3"/>
  <c r="K65" i="3"/>
  <c r="E65" i="3"/>
  <c r="B65" i="3"/>
  <c r="U64" i="3"/>
  <c r="K64" i="3"/>
  <c r="E64" i="3"/>
  <c r="B64" i="3"/>
  <c r="U63" i="3"/>
  <c r="K63" i="3"/>
  <c r="E63" i="3"/>
  <c r="B63" i="3"/>
  <c r="U62" i="3"/>
  <c r="K62" i="3"/>
  <c r="E62" i="3"/>
  <c r="B62" i="3"/>
  <c r="U61" i="3"/>
  <c r="K61" i="3"/>
  <c r="E61" i="3"/>
  <c r="B61" i="3"/>
  <c r="U60" i="3"/>
  <c r="K60" i="3"/>
  <c r="E60" i="3"/>
  <c r="B60" i="3"/>
  <c r="U59" i="3"/>
  <c r="K59" i="3"/>
  <c r="E59" i="3"/>
  <c r="B59" i="3"/>
  <c r="U58" i="3"/>
  <c r="K58" i="3"/>
  <c r="E58" i="3"/>
  <c r="B58" i="3"/>
  <c r="U57" i="3"/>
  <c r="K57" i="3"/>
  <c r="E57" i="3"/>
  <c r="B57" i="3"/>
  <c r="U56" i="3"/>
  <c r="K56" i="3"/>
  <c r="E56" i="3"/>
  <c r="B56" i="3"/>
  <c r="U55" i="3"/>
  <c r="K55" i="3"/>
  <c r="E55" i="3"/>
  <c r="B55" i="3"/>
  <c r="U54" i="3"/>
  <c r="K54" i="3"/>
  <c r="E54" i="3"/>
  <c r="B54" i="3"/>
  <c r="U53" i="3"/>
  <c r="K53" i="3"/>
  <c r="E53" i="3"/>
  <c r="B53" i="3"/>
  <c r="U52" i="3"/>
  <c r="K52" i="3"/>
  <c r="E52" i="3"/>
  <c r="B52" i="3"/>
  <c r="U51" i="3"/>
  <c r="K51" i="3"/>
  <c r="E51" i="3"/>
  <c r="B51" i="3"/>
  <c r="U50" i="3"/>
  <c r="K50" i="3"/>
  <c r="E50" i="3"/>
  <c r="B50" i="3"/>
  <c r="U49" i="3"/>
  <c r="K49" i="3"/>
  <c r="E49" i="3"/>
  <c r="B49" i="3"/>
  <c r="K48" i="3"/>
  <c r="E48" i="3"/>
  <c r="B48" i="3"/>
  <c r="U47" i="3"/>
  <c r="K47" i="3"/>
  <c r="E47" i="3"/>
  <c r="B47" i="3"/>
  <c r="U46" i="3"/>
  <c r="K46" i="3"/>
  <c r="E46" i="3"/>
  <c r="B46" i="3"/>
  <c r="U45" i="3"/>
  <c r="K45" i="3"/>
  <c r="E45" i="3"/>
  <c r="B45" i="3"/>
  <c r="U44" i="3"/>
  <c r="K44" i="3"/>
  <c r="E44" i="3"/>
  <c r="B44" i="3"/>
  <c r="U43" i="3"/>
  <c r="K43" i="3"/>
  <c r="E43" i="3"/>
  <c r="B43" i="3"/>
  <c r="U42" i="3"/>
  <c r="K42" i="3"/>
  <c r="E42" i="3"/>
  <c r="B42" i="3"/>
  <c r="U41" i="3"/>
  <c r="K41" i="3"/>
  <c r="E41" i="3"/>
  <c r="B41" i="3"/>
  <c r="U40" i="3"/>
  <c r="K40" i="3"/>
  <c r="E40" i="3"/>
  <c r="B40" i="3"/>
  <c r="K39" i="3"/>
  <c r="E39" i="3"/>
  <c r="B39" i="3"/>
  <c r="U38" i="3"/>
  <c r="K38" i="3"/>
  <c r="E38" i="3"/>
  <c r="B38" i="3"/>
  <c r="U37" i="3"/>
  <c r="K37" i="3"/>
  <c r="E37" i="3"/>
  <c r="B37" i="3"/>
  <c r="U36" i="3"/>
  <c r="K36" i="3"/>
  <c r="E36" i="3"/>
  <c r="B36" i="3"/>
  <c r="U35" i="3"/>
  <c r="K35" i="3"/>
  <c r="E35" i="3"/>
  <c r="B35" i="3"/>
  <c r="U34" i="3"/>
  <c r="K34" i="3"/>
  <c r="E34" i="3"/>
  <c r="B34" i="3"/>
  <c r="U33" i="3"/>
  <c r="K33" i="3"/>
  <c r="E33" i="3"/>
  <c r="B33" i="3"/>
  <c r="U32" i="3"/>
  <c r="K32" i="3"/>
  <c r="E32" i="3"/>
  <c r="B32" i="3"/>
  <c r="U31" i="3"/>
  <c r="K31" i="3"/>
  <c r="E31" i="3"/>
  <c r="B31" i="3"/>
  <c r="U30" i="3"/>
  <c r="K30" i="3"/>
  <c r="E30" i="3"/>
  <c r="B30" i="3"/>
  <c r="U29" i="3"/>
  <c r="K29" i="3"/>
  <c r="E29" i="3"/>
  <c r="B29" i="3"/>
  <c r="U28" i="3"/>
  <c r="K28" i="3"/>
  <c r="E28" i="3"/>
  <c r="B28" i="3"/>
  <c r="U27" i="3"/>
  <c r="K27" i="3"/>
  <c r="E27" i="3"/>
  <c r="B27" i="3"/>
  <c r="U26" i="3"/>
  <c r="K26" i="3"/>
  <c r="E26" i="3"/>
  <c r="B26" i="3"/>
  <c r="U25" i="3"/>
  <c r="K25" i="3"/>
  <c r="E25" i="3"/>
  <c r="B25" i="3"/>
  <c r="U24" i="3"/>
  <c r="K24" i="3"/>
  <c r="E24" i="3"/>
  <c r="B24" i="3"/>
  <c r="U23" i="3"/>
  <c r="K23" i="3"/>
  <c r="E23" i="3"/>
  <c r="B23" i="3"/>
  <c r="U22" i="3"/>
  <c r="K22" i="3"/>
  <c r="E22" i="3"/>
  <c r="B22" i="3"/>
  <c r="U21" i="3"/>
  <c r="K21" i="3"/>
  <c r="E21" i="3"/>
  <c r="B21" i="3"/>
  <c r="U20" i="3"/>
  <c r="K20" i="3"/>
  <c r="E20" i="3"/>
  <c r="B20" i="3"/>
  <c r="U19" i="3"/>
  <c r="K19" i="3"/>
  <c r="E19" i="3"/>
  <c r="B19" i="3"/>
  <c r="U18" i="3"/>
  <c r="K18" i="3"/>
  <c r="E18" i="3"/>
  <c r="B18" i="3"/>
  <c r="U17" i="3"/>
  <c r="K17" i="3"/>
  <c r="E17" i="3"/>
  <c r="B17" i="3"/>
  <c r="U16" i="3"/>
  <c r="K16" i="3"/>
  <c r="E16" i="3"/>
  <c r="B16" i="3"/>
  <c r="U15" i="3"/>
  <c r="K15" i="3"/>
  <c r="E15" i="3"/>
  <c r="B15" i="3"/>
  <c r="U14" i="3"/>
  <c r="K14" i="3"/>
  <c r="E14" i="3"/>
  <c r="B14" i="3"/>
  <c r="U13" i="3"/>
  <c r="K13" i="3"/>
  <c r="E13" i="3"/>
  <c r="B13" i="3"/>
  <c r="U12" i="3"/>
  <c r="K12" i="3"/>
  <c r="E12" i="3"/>
  <c r="B12" i="3"/>
  <c r="U11" i="3"/>
  <c r="K11" i="3"/>
  <c r="E11" i="3"/>
  <c r="B11" i="3"/>
  <c r="U10" i="3"/>
  <c r="K10" i="3"/>
  <c r="E10" i="3"/>
  <c r="B10" i="3"/>
  <c r="U9" i="3"/>
  <c r="K9" i="3"/>
  <c r="E9" i="3"/>
  <c r="B9" i="3"/>
  <c r="U8" i="3"/>
  <c r="K8" i="3"/>
  <c r="E8" i="3"/>
  <c r="B8" i="3"/>
  <c r="U7" i="3"/>
  <c r="K7" i="3"/>
  <c r="E7" i="3"/>
  <c r="B7" i="3"/>
  <c r="U6" i="3"/>
  <c r="K6" i="3"/>
  <c r="E6" i="3"/>
  <c r="B6" i="3"/>
  <c r="U5" i="3"/>
  <c r="K5" i="3"/>
  <c r="E5" i="3"/>
  <c r="B5" i="3"/>
  <c r="U4" i="3"/>
  <c r="K4" i="3"/>
  <c r="E4" i="3"/>
  <c r="B4" i="3"/>
  <c r="U3" i="3"/>
  <c r="K3" i="3"/>
  <c r="E3" i="3"/>
  <c r="B3" i="3"/>
</calcChain>
</file>

<file path=xl/sharedStrings.xml><?xml version="1.0" encoding="utf-8"?>
<sst xmlns="http://schemas.openxmlformats.org/spreadsheetml/2006/main" count="12230" uniqueCount="8565">
  <si>
    <t>Date</t>
  </si>
  <si>
    <t>Twitter Query: "Pablo Iglesias" lang:es -filter:retweets -filter:replies</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</si>
  <si>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</si>
  <si>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</si>
  <si>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</si>
  <si>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</si>
  <si>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</si>
  <si>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</si>
  <si>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</si>
  <si>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</si>
  <si>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</si>
  <si>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</si>
  <si>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</si>
  <si>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</si>
  <si>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</si>
  <si>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</si>
  <si>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</si>
  <si>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</si>
  <si>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</si>
  <si>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</si>
  <si>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</si>
  <si>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</si>
  <si>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Juan Porculio Romero</t>
  </si>
  <si>
    <t>.@Pablo_Iglesias_ el señorito de los montes</t>
  </si>
  <si>
    <t>Pablo Durá</t>
  </si>
  <si>
    <t>Hace dos años, mi tocayo @Pablo_Iglesias_ me echó una mano retuiteando una entrevista que me hizo el amigo @enekoruizj. Y desde entonces mi vida nunca ha vuelto a ser igual. Muchas gracias a los dos. #PabloIglesias #BrigadaLincoln #GuerraCivil #comics</t>
  </si>
  <si>
    <t>https://pbs.twimg.com/media/DssejYmXgAAXQWX.jpg</t>
  </si>
  <si>
    <t>Spain</t>
  </si>
  <si>
    <t>España</t>
  </si>
  <si>
    <t>I've written for Marvel Comics and now I'm working on a 120-page graphic novel called The Lincoln brigade.</t>
  </si>
  <si>
    <t>Tengo pinta de fake, pero mis padres me hicieron así y bien orgulloso que estoy de ello</t>
  </si>
  <si>
    <t>https://www.kickstarter.com/projects/pablodura/the-lincoln-brigade</t>
  </si>
  <si>
    <t>Juan Andrés Gallardo</t>
  </si>
  <si>
    <t>viti</t>
  </si>
  <si>
    <t>Pablo Iglesias en la apertura del Consejo Ciudadano Estatal. 23 de noviembre</t>
  </si>
  <si>
    <t>http://www.laizquierdadiario.com/internacional</t>
  </si>
  <si>
    <t>https://www.youtube.com/attribution_link?a=cqI82-Bb_LQ&amp;u=%2Fwatch%3Fv%3DOg63UN3v7QA%26feature%3Dshare</t>
  </si>
  <si>
    <t>Argentina</t>
  </si>
  <si>
    <t>Madrid</t>
  </si>
  <si>
    <t>Editor de la sección internacional de @izquierdadiario</t>
  </si>
  <si>
    <t>Podemitagentilicia 💪💜😉</t>
  </si>
  <si>
    <t>https://www.facebook.com/victoriandres</t>
  </si>
  <si>
    <t>Sandra PM</t>
  </si>
  <si>
    <t>Lo mismo @Pablo_Iglesias_ mueve el culo...o sigue de mediador entre policías y manifestantes. RT @st_esteveroures: Sembla que la llibertat d'expressió també està de Black Friday.</t>
  </si>
  <si>
    <t>https://twitter.com/st_esteveroures/status/1065975453737984000
https://twitter.com/324cat/status/1065969346533572608</t>
  </si>
  <si>
    <t>Sant Sadurní d'Anoia.</t>
  </si>
  <si>
    <t>Homo sum; humani nihil a me alienum puto. Hombre soy; nada humano me es ajeno. Futura antropóloga. Memoria histórica. :)</t>
  </si>
  <si>
    <t>José García Molina</t>
  </si>
  <si>
    <t>PODEMOS</t>
  </si>
  <si>
    <t>🔴 En directo: @Pablo_Iglesias_ en la apertura del Consejo Ciudadano Estatal para analizar el contexto político y social actual en nuestro país.</t>
  </si>
  <si>
    <t>https://twitter.com/i/broadcasts/1nAKEyNyMnaKL</t>
  </si>
  <si>
    <t>https://www.youtube.com/watch?v=dJQamM0sPOk&amp;feature=share</t>
  </si>
  <si>
    <t>✅</t>
  </si>
  <si>
    <t>Toledo, España</t>
  </si>
  <si>
    <t>Facebook: http://ow.ly/ueEX9</t>
  </si>
  <si>
    <t>Profesor Titular de Pedagogía Social en la UCLM. Secretario general de @CLM_podemos. Vicepresidente Segundo de Castilla-La Mancha.</t>
  </si>
  <si>
    <t>Un país feminista y donde nadie se quede fuera. La España que nació el 15M. Construimos contigo una mayoría para recuperar la dignidad y los derechos #SíSePuede</t>
  </si>
  <si>
    <t>http://www.castillalamancha.es/gobierno/vicepresidenciasegunda/titular</t>
  </si>
  <si>
    <t>http://podemos.info</t>
  </si>
  <si>
    <t>Sextavision</t>
  </si>
  <si>
    <t>Por qué @Pablo_Iglesias_ carga contra la monarquía en El País:</t>
  </si>
  <si>
    <t>https://buff.ly/2TAGgEb</t>
  </si>
  <si>
    <t>https://pbs.twimg.com/media/DssgKf4W0AAICxP.jpg</t>
  </si>
  <si>
    <t>Barcelona, Spain</t>
  </si>
  <si>
    <t>Blog sobre medios de comunicación y política, enfocado en España, Estados Unidos y Argentina, pero con mirada hispanoamericana y europea.</t>
  </si>
  <si>
    <t>http://sextavision.es</t>
  </si>
  <si>
    <t>La Razón</t>
  </si>
  <si>
    <t>#Partidos 🍿 @Pablo_Iglesias_ recuerda a @ManuelaCarmena que no sería alcaldesa sin ellos.</t>
  </si>
  <si>
    <t>Guadalajara</t>
  </si>
  <si>
    <t>http://lrzn.es/jn5nd1</t>
  </si>
  <si>
    <t>https://pbs.twimg.com/media/Dssf0CKXoAAEEwn.jpg</t>
  </si>
  <si>
    <t>Cuenta oficial del diario LA RAZÓN. RT y HT no significan necesariamente acuerdo. http://facebook.com/larazon.es http://instagram.com/larazon.es/</t>
  </si>
  <si>
    <t>http://www.larazon.es</t>
  </si>
  <si>
    <t>manu fa</t>
  </si>
  <si>
    <t>Iglesias asegura que no apoyará a Sánchez para "patrioterismos extraños" en relación con Gibraltar</t>
  </si>
  <si>
    <t>https://www.europapress.es/nacional/noticia-pablo-iglesias-asegura-no-apoyara-pedro-sanchez-patrioterismos-extranos-relacion-gibraltar-20181123115328.html</t>
  </si>
  <si>
    <t>PODEMOS Nou Barris</t>
  </si>
  <si>
    <t>argentina</t>
  </si>
  <si>
    <t>📣¿Para qué sirve hoy la monarquía? #FelizJueves #22Nov #22novembre #Republica #monarquía #Democracia #Politica #españa #Barcelona #NouBarris #SiSePuede #Podemos #pabloiglesias #ElPaisHOY 👇Interesante e importante artículo de @Pablo_Iglesias_ 👇</t>
  </si>
  <si>
    <t>https://elpais.com/elpais/2018/11/21/opinion/1542806031_921444.amp.html?__twitter_impression=true</t>
  </si>
  <si>
    <t>http://oficios2011.blogspot.com.ar</t>
  </si>
  <si>
    <t>Nou Barris, Barcelona</t>
  </si>
  <si>
    <t>Círculo Podemos Distrito Nou Barris - Barcelona</t>
  </si>
  <si>
    <t>http://www.facebook.com/CercleNouBarris</t>
  </si>
  <si>
    <t>El Independiente</t>
  </si>
  <si>
    <t>Pablo Iglesias defiende el veto de @sanchezcastejon al Brexit si sirve para "defender a la gente trabajadora de Gibraltar" y no para "patrioterismos extraños"</t>
  </si>
  <si>
    <t>https://www.elindependiente.com/politica/2018/11/23/pablo-iglesias-defiende-gibraltar-los-trabajadores-no-patrioterismos-extranos/?utm_source=share_buttons&amp;utm_medium=twitter&amp;utm_campaign=social_share2</t>
  </si>
  <si>
    <t>Madrid, Comunidad de Madrid</t>
  </si>
  <si>
    <t>#ElIndependiente, un medio ideado, creado y controlado por periodistas. Dirigido por @garcia_abadillo. También http://facebook.com/indpcom #SomosIndependientes</t>
  </si>
  <si>
    <t>http://www.elindependiente.com</t>
  </si>
  <si>
    <t>Alethia</t>
  </si>
  <si>
    <t>Nicaragua La realidad, contra lo que nos vendieron esos medios que ahora se quejan de ser atacados por fascistas. Valga también para @ahorapodemos y @Pablo_Iglesias_ RT @el19digital: #Nicaragua Celulares de Medardo Mairena y Pedro Mena develan gigantesca trama golpista</t>
  </si>
  <si>
    <t>https://twitter.com/el19digital/status/1065742515305885696
http://ow.ly/RDI630mIHJN</t>
  </si>
  <si>
    <t>Madrid, España</t>
  </si>
  <si>
    <t>Cuba-URSS-Euskal Herria: mi recorrido. Mujer COMUNISTA sin afiliación. Incomprable. PP es ultraderecha. Podemos no es izquierda. Añoro la URSS. Palestina libre</t>
  </si>
  <si>
    <t>http://la-protestona.blogspot.com.es/</t>
  </si>
  <si>
    <t>https://elpais.com/elpais/2018/11/21/opinion/1542806031_921444.html</t>
  </si>
  <si>
    <t>puchilín</t>
  </si>
  <si>
    <t>Moi_03</t>
  </si>
  <si>
    <t>#SaveYourInternet no al artículo 13, nos dejarían sin nada como entretenimiento por favor @Pablo_Iglesias_ @sanchezcastejon con vuestro apoyo podríamos solucionarlo</t>
  </si>
  <si>
    <t>Sonseca, España</t>
  </si>
  <si>
    <t>Ciencia y Tecnología y Culé hasta la muerte</t>
  </si>
  <si>
    <t>Astur,andaluz,català i valencià, muy español.Peruano por amor 🇵🇪</t>
  </si>
  <si>
    <t>Sergio 🇪🇸🇪🇸</t>
  </si>
  <si>
    <t>Señor @Pablo_Iglesias_ espero que lo de que no va a apoyar a Pedro Sánchez por lo que usted define como “patriotismos extraños” sea broma. Le recuerdo que esto ha pasado en sus filas:</t>
  </si>
  <si>
    <t>https://pbs.twimg.com/media/DsseLWHXQAEXXrP.jpg</t>
  </si>
  <si>
    <t>https://twitter.com/OdinT707/status/1064892657586049024</t>
  </si>
  <si>
    <t>pic.twitter.com/u9Spg6cMDH</t>
  </si>
  <si>
    <t xml:space="preserve">Antequera, Málaga </t>
  </si>
  <si>
    <t>El periodismo y la política son mi pasión ||12❤️||Antirreligioso-PSOE🌹-Antitaurino // Gitano // Español y orgulloso, ¡Viva S.M. El Rey! 🇪🇸🇪🇸</t>
  </si>
  <si>
    <t>Sputnik Mundo</t>
  </si>
  <si>
    <t>Pablo Iglesias no descarta elecciones generales anticipadas en España</t>
  </si>
  <si>
    <t>https://sptnkne.ws/kdDt</t>
  </si>
  <si>
    <t>Moscú, Rusia</t>
  </si>
  <si>
    <t>Twitter oficial de la web de noticias rusa Sputnik Mundo y de Radio Sputnik. Aplicación móvil: https://mundo.sputniknews.com/docs/productos/mobile.html</t>
  </si>
  <si>
    <t>https://mundo.sputniknews.com/</t>
  </si>
  <si>
    <t>Tabarnia, España</t>
  </si>
  <si>
    <t>Cabreo Político</t>
  </si>
  <si>
    <t>Hola! @sanchezcastejon @Pablo_Iglesias_ @Albert_Rivera @Santi_ABASCAL @pablocasado_</t>
  </si>
  <si>
    <t>https://pbs.twimg.com/media/Dssc8YVXcAAY6oS.png</t>
  </si>
  <si>
    <t>Análisis Cabreo político en Twitter</t>
  </si>
  <si>
    <t>Jose Luis</t>
  </si>
  <si>
    <t>Cero en transparencia la organización ligada a Podemos -Pablo Iglesias siguió la noche electoral de las autonómicas de 2015 desde la sede en Madrid de Uatae-.</t>
  </si>
  <si>
    <t>Valencia, España</t>
  </si>
  <si>
    <t>Si no te gusta lo que digo no me sigas ; estoy en contra del comunismo y el comunismo radical populista (ojo no soy de ningún partido)</t>
  </si>
  <si>
    <t>Jose Ricardo</t>
  </si>
  <si>
    <t>Hipermercado, dónde compro tres tomates por 1,16€. ¿Saben cuanto le pagan a un agricultor por una caja de tomates?Yo se lo digo,0,40 centimos de Euro+-! Si, por una caja! #agricultura #today #fraude @Santi_ABASCAL @sanchezcastejon @pablocasado_ @Albert_Rivera @Pablo_Iglesias_</t>
  </si>
  <si>
    <t>https://pbs.twimg.com/media/DsscXgWXgAAF04M.jpg</t>
  </si>
  <si>
    <t>Lorca.Murcia.España. Madridista, me simpatiza el Betis (Pastrana me lo enseñó)</t>
  </si>
  <si>
    <t>Mercè Serrano</t>
  </si>
  <si>
    <t>Criticar al Presidente del Gobierno @sanchezcastejon con motivo de sus viajes al extranjero a los que acude para actos en beneficio del país y, por tanto, de los españoles como deberíamos calificarlo @Pablo_Iglesias_ ?? @La_SER @HoyPorHoy #ElPSOEDaSeguridad</t>
  </si>
  <si>
    <t>RTn #Madrid</t>
  </si>
  <si>
    <t>Sevilla</t>
  </si>
  <si>
    <t>#Madrid Pablo Iglesias se pliega ante Carmena y acepta que Podemos no tendrá cuotas</t>
  </si>
  <si>
    <t>https://pbs.twimg.com/media/DssbvlFWsAEslGJ.jpg</t>
  </si>
  <si>
    <t>https://ift.tt/2R33GjH</t>
  </si>
  <si>
    <t>De Izquierdas. Solidaria. Republicana. Comprometida con el Medio Ambiente.</t>
  </si>
  <si>
    <t>Noticias de #Madrid y sus distritos: Centro, #Arganzuela, #Retiro, #Salamanca, #Chamartín, #Tetuán, #Chamberí, #Fuencarral, #Moncloa, Latina, Carabanchel, Usera</t>
  </si>
  <si>
    <t>http://bit.ly/RTn_SocialPubli</t>
  </si>
  <si>
    <t>Adelante Sevilla</t>
  </si>
  <si>
    <t>Mañana sábado nos vamos a Fibes. @Pablo_Iglesias_ y @agarzon estarán acompañando en #SevillaHoy a @TeresaRodr_ y @MailloAntonio ¡Con la actuación de la chirigota de Vera Luque “No tengo el congo pa farolillos”! 💚#AdelanteAndalucía👇🏼👇🏼👇🏼</t>
  </si>
  <si>
    <t>https://www.ticketbell.com/musica/mitin-adelante-andalucia-en-sevilla</t>
  </si>
  <si>
    <t>Zero</t>
  </si>
  <si>
    <t>12 países monárquicos entre los 20 más desarrollados cuando los 20 países más pobres con peor índice de desarrollo humano son repúblicas. Cómo era eso de Monárquica o República @Pablo_Iglesias_ ? El gusano ignorante comunista se ha hecho fuerte en la cabeza del coletas.</t>
  </si>
  <si>
    <t>Principado de Asturias, España</t>
  </si>
  <si>
    <t>Geovis Galarza</t>
  </si>
  <si>
    <t>Pablo Iglesias: de aliado a rival 🇪🇸</t>
  </si>
  <si>
    <t>Miro siempre por la mirilla antes de abrir la puerta. Creando nuestro futuro.</t>
  </si>
  <si>
    <t>National District, Dominican Republic</t>
  </si>
  <si>
    <t>Político, comunicador, contable, luchador, valiente. Noticias Noticias Política y Gobierno Deportes Política</t>
  </si>
  <si>
    <t>David Cifuentes</t>
  </si>
  <si>
    <t>Os recomiendo el libro Nudo España de, #enricjualiana y @Pablo_Iglesias_ . Seguimos con el viaje.</t>
  </si>
  <si>
    <t>https://pbs.twimg.com/media/DssY5lLWsAEAHAv.jpg</t>
  </si>
  <si>
    <t>Zaragoza Avila Valladolid</t>
  </si>
  <si>
    <t>Especulador Precoz</t>
  </si>
  <si>
    <t>Llegó El Especulador Precoz desde Venezuela:@realDonaldTrump @EmmanuelMacron @MichelTemer @EPN @sanchezcastejon @CFKArgentina @evoespueblo @JuanManSantos @IvanDuque @Pablo_Iglesias_ @MonederoJC @_isaacrosa @agarzon @ierrejon @EnekoHumor @ernestosamperp @MistralS RT @CiudadCCS: #Disfruta #Leyendo el @EPrecoz el único periódico humorístico ➡️</t>
  </si>
  <si>
    <t>https://twitter.com/CiudadCCS/status/1065964434563219456
http://bit.ly/2BrzpWG</t>
  </si>
  <si>
    <t>https://pbs.twimg.com/media/DssKT1xXQAE3wME.jpg</t>
  </si>
  <si>
    <t>Caracas</t>
  </si>
  <si>
    <t>El periódico que especula pero no da empleo</t>
  </si>
  <si>
    <t>🇪🇸V.P.M🇺🇿</t>
  </si>
  <si>
    <t>El país favorito de Pablo Iglesias</t>
  </si>
  <si>
    <t>https://es.panampost.com/guillermo-rodriguez/2018/11/18/socialismo-pobreza/</t>
  </si>
  <si>
    <t>marisa paredes</t>
  </si>
  <si>
    <t>Cuidado con @Pablo_Iglesias_ QUE bueno lo tuyo.Comunismo es igual a comprarse un chalecito, otra casa, pedir escolta 24horas para tu casa y para vosotros. Subiros el sueldo, etc y los demás qué?Espero q no llegues a Presidente, nos hundes a todos en la MISERIA.PATRIOTA TODO VTROS RT @MariaTabarnia: 🔴 El enemigo público de ESPAÑA, @Pablo_Iglesias_, acusa a Bruselas y FMI de querer «miseria social» para España Mira, Coletas, quienes quieren miseria económica, política, jurídica, territorial y social de ESPAÑA eres tú y todo el Gobierno Frankenstein.</t>
  </si>
  <si>
    <t>Aquí y allá</t>
  </si>
  <si>
    <t>https://twitter.com/MariaTabarnia/status/1065924258969411584
https://trib.al/yPLlmKh</t>
  </si>
  <si>
    <t>Estoy en un momento de mi vida que solo me importa la#caza🐗 y solo dos cosas por encima de ella,mi familia y los amigos👌</t>
  </si>
  <si>
    <t>👤</t>
  </si>
  <si>
    <t>Caroline</t>
  </si>
  <si>
    <t>La prensa nunca ataca al Rey pero sí y mucho a Pablo Iglesias. RT @europapress: Rivera recalca a Iglesias que el problema de España no es la Monarquía sino el populismo: "Felipe VI está bastante mejor valorado que Iglesias. El Rey no es el problema, son Rufián, Iglesias, Puigdemont..."</t>
  </si>
  <si>
    <t>ccoo-sarga</t>
  </si>
  <si>
    <t>#losojosdelmonte #olonateavandona Los montes son de tod@s!!! @ISSLA_Aragon @PodemosAragon @iu_aragon @pablocasado_ @Pablo_Iglesias_ @JLambanM @Laenredadera @chunta @PatriciaLuquin @AT_Brif @BrifLaza @MaruDaz1 @Nikofire @mapagob @ordesa_com @eforestal @heraldoes @aragonradio</t>
  </si>
  <si>
    <t>https://twitter.com/europapress/status/1065604662710214657
https://bit.ly/2qYyXJn</t>
  </si>
  <si>
    <t>pic.twitter.com/Fqqj4JRDSp</t>
  </si>
  <si>
    <t>https://pbs.twimg.com/media/DssU-tpXcAAHtug.jpg</t>
  </si>
  <si>
    <t>México</t>
  </si>
  <si>
    <t>La vida es peligrosa no por las personas que hacen el mal, sino por las que se sientan a ver lo que pasa AE.</t>
  </si>
  <si>
    <t>Toni Clares</t>
  </si>
  <si>
    <t>¿Por qué los #GuardiasCiviles van a ser los únicos funcionarios de la Administración con descuentos del 20% del sueldo al tercer mes de baja ? Algo q decir señores @sanchezcastejon @psoe @interiorgob @Defensagob @Pablo_Iglesias_ @pablocasado_ @Albert_Rivera @Santi_ABASCAL</t>
  </si>
  <si>
    <t>Almería, España</t>
  </si>
  <si>
    <t>Ciberseguridad|Pentester|LINUX| OSCP|Ethical hacking|Lead Auditor Certified|Deepweb|Blockchain|Bitcoin|Phyton|Ajedrez Chess AEAC ICC|POLICIA|POLICE</t>
  </si>
  <si>
    <t>abc_madrid</t>
  </si>
  <si>
    <t>Pablo Iglesias se pliega ante Carmena y acepta que Podemos no tendrá cuotas</t>
  </si>
  <si>
    <t>http://madrid.abc.es/sjtoz2</t>
  </si>
  <si>
    <t>Podemos Illes Balears</t>
  </si>
  <si>
    <t>💚 Mañana sábado, nuestra Secretaria General, Mae de la Concha, estará en Sevilla junto a @Pablo_Iglesias_ dando apoyo a @TeresaRodr_. Andalucía se merece pasar página después de 40 años del peor PSOE.</t>
  </si>
  <si>
    <t>https://pbs.twimg.com/media/DssTWv6X4AAxq0L.jpg</t>
  </si>
  <si>
    <t>Toda la información de la Comunidad de Madrid en @abc_es</t>
  </si>
  <si>
    <t>http://www.abc.es/madrid/madrid.asp</t>
  </si>
  <si>
    <t>Illes Balears</t>
  </si>
  <si>
    <t>Pàgina oficial de Podem Illes Balears. Volem recuperar la sobirania popular. Segueix-nos també: http://telegram.me/PodemBalears contacto@balears.podemos.info</t>
  </si>
  <si>
    <t>http://balears.podemos.info</t>
  </si>
  <si>
    <t>El Periodista Camorrista</t>
  </si>
  <si>
    <t>Que dice @Pablo_Iglesias_ que no apoyará a Pedro Sánchez para "patrioterismos extraños" con Gibraltar: 🇦🇷¡Malvinas Argentinas! 🗣¡Muy bien! 🇪🇸¡Gibraltar español! 🗣¡Calla, FACHA!</t>
  </si>
  <si>
    <t>https://pbs.twimg.com/media/DssTW0mWkAEcOi0.jpg</t>
  </si>
  <si>
    <t>🎥https://www.youtube.com/c/ElPeriodistaCamorrista Azote de los Independentistas y de todos los que Odian a España. Política, Sociedad y Actualidad. 🍊🇪🇸🇪🇺</t>
  </si>
  <si>
    <t>https://www.youtube.com/c/ElPeriodistaCamorrista</t>
  </si>
  <si>
    <t>Ignatius J. Reilly 🇪🇺🧣</t>
  </si>
  <si>
    <t>Es acojonante. El poder ejecutivo diciendo abiertamente que NO RESPETA al poder judicial. Cuando Pedro Sánchez y Pablo Iglesias controlen la justicia y se condene o libere a quien ellos les de la gana vendrán los lamentos. Advertidos estabais. RT @EFEnoticias: El Gobierno "acata pero no respeta" última sentencia del Tribunal de La Manada  #efeminista</t>
  </si>
  <si>
    <t>https://twitter.com/efenoticias/status/1065938064629993473
http://bit.ly/2DTBugv</t>
  </si>
  <si>
    <t>josep colás</t>
  </si>
  <si>
    <t>O sea que a @Pablo_Iglesias_ le parece bien regalar Gibraltar por un plato de lentejas? @ahorapodemos podéis iros a la mierda. España no se vende hijodeputa</t>
  </si>
  <si>
    <t>VLL → BCN → TLL → ATH → SKG → AMS → MAD</t>
  </si>
  <si>
    <t>Enemigo del pueblo.</t>
  </si>
  <si>
    <t>http://curiouscat.me/erlik</t>
  </si>
  <si>
    <t>Benavites, Valencia,España</t>
  </si>
  <si>
    <t>Valencià , Valencianiste a mort...¡¡¡ i Anticatalaniste..¡¡¡ El Valencia CF meu amor😘😘😘</t>
  </si>
  <si>
    <t>Ahora poTemos</t>
  </si>
  <si>
    <t>Conversación entre Pablo Iglesias y sus hijos en el futuro: - Papá, papá, ¿que hay que hacer para tener una casa asi? - Decir a la gente que nunca te irías a vivir a una casa así.</t>
  </si>
  <si>
    <t>El Sacapuntas</t>
  </si>
  <si>
    <t>En Podemos decides tú @Pablo_Iglesias_. Ya no engañas a nadie. RT @Pablo_Iglesias_: En Podemos los inscritos eligen a sus candidatos. Sois el alma de Podemos, porque Podemos es vuestra herramienta de cambio. En Podemos decides tú. 📩 Participa en los procesos de primarias abiertos:</t>
  </si>
  <si>
    <t>https://twitter.com/Pablo_Iglesias_/status/1065661185431822336
https://primarias2019.podemos.info</t>
  </si>
  <si>
    <t>https://pbs.twimg.com/media/DsnxDIoXgAIJfGd.jpg</t>
  </si>
  <si>
    <t>Tabarnia</t>
  </si>
  <si>
    <t>Me asquean los perroflautas,detesto a los analfaprogres, aborrezco a los necionalistas y hostiaría a los abertxandales y su Kale Borrika.</t>
  </si>
  <si>
    <t>Opinión, análisis, libertad de expresión. Observar, comentar el postureo hipócrita de innumerables personajes de nuestra sociedad. ¡Mucho por afilar!</t>
  </si>
  <si>
    <t>http://sacapuntass.tumblr.com/</t>
  </si>
  <si>
    <t>Uno más</t>
  </si>
  <si>
    <t>El matrimonio te puede cambiar de muchas maneras, incluso política. Puedes pasar de estar buscando con Pablo iglesias a estar con Pablo casado.</t>
  </si>
  <si>
    <t>Kike Málaga</t>
  </si>
  <si>
    <t>Hola @Pablo_Iglesias_ , dime de un comunista, excepto las élites como tú, que viva bien en algún país de ésos que vendes. Anda. Te espero.</t>
  </si>
  <si>
    <t>Pasadena, CA</t>
  </si>
  <si>
    <t>Viejoven. Paquita Salas es mi crush. Fan de Dave el Bárbaro y el de las peras. No me cuentes cuentos que ya todos me los sé. No queda salsita. Fantasioso cariño</t>
  </si>
  <si>
    <t>Pasión por la geología.Mis montañas me lo cuentan todo.Explorador. Consejero D.Centro PP Málaga</t>
  </si>
  <si>
    <t>Rodrigo Slay</t>
  </si>
  <si>
    <t>(Pablo Iglesias no descarta elecciones generales anticipadas en España) publicado en Slay Multimedios</t>
  </si>
  <si>
    <t>Sergio Jaramillo C.</t>
  </si>
  <si>
    <t>https://www.slaymultimedios.com/pablo-iglesias-no-descarta-elecciones-generales-anticipadas-en-espana/</t>
  </si>
  <si>
    <t>Parecía que, con el escenario italiano, la UE iba a dar un respiro a España. Lamentablemente, como denuncia @Pablo_Iglesias_, se demuestra una vez más que respetar la soberanía de la gente no entra en el vocabulario de las instituciones europeas:</t>
  </si>
  <si>
    <t>https://www.elmundo.es/espana/2018/11/23/5bf7ccc0268e3e66388b45d4.html</t>
  </si>
  <si>
    <t>Santiago de Chile</t>
  </si>
  <si>
    <t>Diseño web, #WebMaster en @slaymultimedios Productor Multimedia, Community Manager, Desarrollador. #Wordpress, #Joomla #PHP.</t>
  </si>
  <si>
    <t>http://www.slaymultimedios.com</t>
  </si>
  <si>
    <t>Getafe (Madrid)</t>
  </si>
  <si>
    <t>Arquitecto en proy., urbanista de vocación y estudiante m. tanto. Geométrico, excéntrico, democrático. “Fuerte cuando yo soy débil y débil cuando me enfurezco”.</t>
  </si>
  <si>
    <t>SlayMultimedios</t>
  </si>
  <si>
    <t>Pablo Iglesias no descarta elecciones generales anticipadas en España - MADRID (Sputnik) — El secretario general de Podemos, Pablo Iglesias, no descarta la posibilidad de que se terminen convocando elecciones ...</t>
  </si>
  <si>
    <t>Harry Fowles</t>
  </si>
  <si>
    <t>Estoy de acuerdo con @Pablo_Iglesias_, un país unido vendría de la mano de una república sobre la base del respeto y la libre decisión de sus pueblos y sus gentes. Y lo digo como persona que sufre bastante desafecto hacia lo que es el Estado español.</t>
  </si>
  <si>
    <t>http://bit.ly/2FDevYK</t>
  </si>
  <si>
    <t>Chile</t>
  </si>
  <si>
    <t>Hosting, desarrollo y diseño web. Aplicaciones y software a medida.</t>
  </si>
  <si>
    <t>País Llionés 🦁</t>
  </si>
  <si>
    <t>Soberanismu llionés ✊. Xeógrafu 🌍. Banda esquierda. Sit tibi terra levis.</t>
  </si>
  <si>
    <t>Victoria Ross</t>
  </si>
  <si>
    <t>https://www.elconfidencial.com/espana/2018-11-18/desencanto-podemos-circulos-pablo-iglesias-carmena_1653050/?utm_campaign=BotoneraWebapp&amp;utm_source=twitter&amp;utm_medium=social</t>
  </si>
  <si>
    <t>Arkaitz S</t>
  </si>
  <si>
    <t>Vergonzoso lo de @ahorapodemos diría que estoy decepcionado, pero no es más que otra mas, a este paso no pasáis del 10% de votos por vuestra maravillosa gestión en el congreso @Pablo_Iglesias_ #PorUnaLeyJusta</t>
  </si>
  <si>
    <t>Ingeniero Industrial</t>
  </si>
  <si>
    <t>http://page.is/victoria-ross</t>
  </si>
  <si>
    <t>Angel Martínez Reina</t>
  </si>
  <si>
    <t>Según Angel Gurria, de la OCDE somos cojonudos. Según la del FMI y el de la UE, los trabajadores no tenemos derecho a nada. Por una vez (y sin que sirva de precedente) tengo que darle la razón al Sr. @Pablo_Iglesias_</t>
  </si>
  <si>
    <t>NoPotemos</t>
  </si>
  <si>
    <t>Todo lo que sea el interés de España es extraño para Pablo. Brexit: Pablo Iglesias califica de "patriotismo extraño" defender la soberanía de Gibraltar</t>
  </si>
  <si>
    <t>https://okdiario-com.cdn.ampproject.org/v/s/okdiario.com/espana/2018/11/23/iglesias-califica-patriotismo-extrano-defender-soberania-gibraltar-3382790/amp?amp_js_v=a2&amp;amp_gsa=1#referrer=https%3A%2F%2Fwww.google.com&amp;amp_tf=De%20%251%24s&amp;ampshare=https%3A%2F%2Fokdiario.com%2Fespana%2F2018%2F11%2F23%2Figlesias-califica-patriotismo-extrano-defender-soberania-gibraltar-3382790</t>
  </si>
  <si>
    <t>Barcelona</t>
  </si>
  <si>
    <t>BACONS BRIDGE (ESPAÑA)</t>
  </si>
  <si>
    <t>Presidente (intentándolo, que no es poco) de la República Independiente de Bacons Bridge @baconsbridge.</t>
  </si>
  <si>
    <t>Una mentira repetida mil veces se convierte en una realidad. (Joseph Goebbels) Ministro de propaganda de la Alemania nacionalsocialista.</t>
  </si>
  <si>
    <t>taur.elnath</t>
  </si>
  <si>
    <t>Es necesario @Pablo_Iglesias_ @ahorapodemos dos impuestos: 1) a los propietarios de robots (en UK pagan impuestos hasta los electrodomésticos), y 2) impuestos a los responsables de Ficheros de Datos Personales que nutren BigData y patentan hallazgos sin revertir € en población.</t>
  </si>
  <si>
    <t>Diego de la Vega</t>
  </si>
  <si>
    <t>Pablo Iglesias llama "patriotismos extraños" a cualquier reivindicación territorial de España sobre Gibraltar.</t>
  </si>
  <si>
    <t>pic.twitter.com/GY7FzVTCuN</t>
  </si>
  <si>
    <t>United Kingdom</t>
  </si>
  <si>
    <t>Éstas son mis opiniones en contexto de debate político. Ni RT ni FAV suponen necesariamente afinidad ni concordancia con mi pensamiento.</t>
  </si>
  <si>
    <t>Córdoba, España</t>
  </si>
  <si>
    <t>ESPAÑA</t>
  </si>
  <si>
    <t>Políticamente incorrecto, por una justicia independiente, Catalan, Español y Europeo. Nazionalistas no, gracias ! Bellpuig, Lleida</t>
  </si>
  <si>
    <t>El Pleyadiano</t>
  </si>
  <si>
    <t>No se si es la transcripción del medio o realmente @Pablo_Iglesias_ piensa que lo importante es que gane @ManuelaCarmena incluso a costa de @ahorapodemos. No lo entiendo. Para mi lo importante es aquello que representa a los inscritos y esto son los estatutos. Me lo expliquen. RT @eldiarioes: Iglesias advierte de que la clave para que Carmena gane es "sumar a todas las piezas y no dejar ninguna fuera"</t>
  </si>
  <si>
    <t>Chimo</t>
  </si>
  <si>
    <t>https://twitter.com/eldiarioes/status/1065910109941964801
https://www.eldiario.es/politica/Pablo-Iglesias-ingredientes-Manuela-alcaldesa_0_838866183.html</t>
  </si>
  <si>
    <t>En serio, me gustaría que alguna vez Pablo Iglesias nos explicara qué es España para él, además de su gente y sus hospitales. Porque si defender los intereses generales del Estado ante UK por el contencioso de Gibraltar para él es «patrioterismo», entonces suprimamos Exteriores.</t>
  </si>
  <si>
    <t>https://pbs.twimg.com/media/DsrfNY3XQAAOJve.jpg</t>
  </si>
  <si>
    <t>Las Pleyades</t>
  </si>
  <si>
    <t>✨🖖 Terrícolas, me tenéis preocupado. Cuando vais a crecer? Si llego a saber esto no me presento voluntario para bajar. Supremacista anti-reptiliano. 🦖🐊🦕🌪</t>
  </si>
  <si>
    <t>Valencia (España)</t>
  </si>
  <si>
    <t>«Aprenda de mí... y vea cuán peligrosa es la adquisición de conocimientos»</t>
  </si>
  <si>
    <t>mo'better</t>
  </si>
  <si>
    <t>Cuando os parezca @ahorapodemos @Pablo_Iglesias_ @VeraNoelia volvemos a hablar de EMPLEO DIGNO y SOSTENIBLE en todas las edades, Como seguro sabéis, la precariedad, desigualdad, etc., son parte importante en la raíz de este violencia. RT @VeraNoelia: Volvemos a la calle para exigir el fin de la #ViolenciaContraLaMujer. Este domingo llenaremos nuestros pueblos y ciudades para reclamar respeto y plenos derechos. ¡Súmate! 👩‍👩‍👧 Aquí podéis encontrar todas las convocatorias:</t>
  </si>
  <si>
    <t>https://twitter.com/VeraNoelia/status/1065950652600332288
https://www.elsaltodiario.com/violencia-machista/convocatorias-25n-contra-violencia-genero</t>
  </si>
  <si>
    <t>Sergio</t>
  </si>
  <si>
    <t>https://pbs.twimg.com/media/DssB-CYXQAEHJ8l.jpg</t>
  </si>
  <si>
    <t>Pedro Sánchez y su mujercita Begoña Gómez han ido a Cuba a acordar un canal regular de diálogo sobre derechos humanos. Me pregunto si ese diálogo correrá a cargo de Otegi, Rufian, Pablo Iglesias o Kim Jong-Torra.</t>
  </si>
  <si>
    <t>El pensamiento nos hará libres...</t>
  </si>
  <si>
    <t>MUY TRANQUILO</t>
  </si>
  <si>
    <t>Para que @Pablo_Iglesias_ tenga algo de que hablar y desviar la atención a algo irrelevante para el desarrollo de un país como es la monarquía en 2018</t>
  </si>
  <si>
    <t>https://elpais.com/elpais/2018/11/21/opinion/1542806031_921444.amp.html</t>
  </si>
  <si>
    <t>Reino de España 🇪🇸</t>
  </si>
  <si>
    <t>Conservador, liberal y monárquico.</t>
  </si>
  <si>
    <t>Mi zulo de Murcia</t>
  </si>
  <si>
    <t>Vago. Deportes. Videojuegos. Dueño , maestro, señor y soberano de todas las cosas sobre mi escritorio -¿También la basura? -Sobre todo la basura</t>
  </si>
  <si>
    <t>Podemos Sevilla</t>
  </si>
  <si>
    <t>Mañana sábado tenemos a @Pablo_Iglesias_ y @agarzon acompañando #Sevillahoy junto a @TeresaRodr_ y @MailloAntonio ¡Y con la actuación de la chirigota de Vera Luque “No tengo el congo pa farolillos”! 💚#AdelanteAndalucía No te lo pierdas, prima!👇🏼👇🏼👇🏼</t>
  </si>
  <si>
    <t>josemarquesdossantos</t>
  </si>
  <si>
    <t>#O_que_me_dizeis_destes_camafeus? Estejam à vontade! Pablo Iglesias pronostica la victoria de la oposición venezolana, con los planteamientos “sensatos” de Capriles</t>
  </si>
  <si>
    <t>https://pbs.twimg.com/media/DssEZzIWsAEmZbl.jpg</t>
  </si>
  <si>
    <t>https://vimeo.com/171016428#at=7</t>
  </si>
  <si>
    <t>https://pbs.twimg.com/media/DssWTAAXgAIrAGE.jpg</t>
  </si>
  <si>
    <t>Cuenta Oficial de Podemos Sevilla. Es el momento de que se escuche la voz de la gente, podemos cambiar las cosas. Síguenos también en http://fb.me/Podemos.Sevilla</t>
  </si>
  <si>
    <t>http://podemossevilla.info</t>
  </si>
  <si>
    <t>Azeitão, Portugal</t>
  </si>
  <si>
    <t>https://twitter.com/josemssantos</t>
  </si>
  <si>
    <t>El Cascabel</t>
  </si>
  <si>
    <t>▶ @ManuelaCarmena desafía a @Pablo_Iglesias_ Así es su plataforma #MásMadrid #MásMadrid2019,</t>
  </si>
  <si>
    <t>https://bit.ly/2FE4LgW</t>
  </si>
  <si>
    <t>https://pbs.twimg.com/media/DsrvSQ2XcAAaleq.jpg</t>
  </si>
  <si>
    <t>http://sociologias-com.blogspot.com/</t>
  </si>
  <si>
    <t>El mejor análisis del día, con la actualidad social, cultural y política de lunes a jueves a las 22:30h con Antonio Jiménez y Susana Ollero.</t>
  </si>
  <si>
    <t>http://www.trecetv.es/programas/el-cascabel</t>
  </si>
  <si>
    <t>Farolillo rojo</t>
  </si>
  <si>
    <t>La 'reina roja' Begoña Gómez se corona en Cuba  vía @elmundoes. Vergüenza? No. Sinverguenzas y aprovechados los dos. A esto q dice @Pablo_Iglesias_ ?</t>
  </si>
  <si>
    <t>https://www.elmundo.es/espana/2018/11/23/5bf7e88a268e3e2e658b459a.html</t>
  </si>
  <si>
    <t>https://www.youtube.com/attribution_link?a=sePebZzuE6w&amp;u=%2Fwatch%3Fv%3DOg63UN3v7QA%26feature%3Dshare</t>
  </si>
  <si>
    <t>Unidad Popular Cádiz #AdelanteAndalucia</t>
  </si>
  <si>
    <t>Mañana en Sevilla, Acto de #AdelanteAndalucía con @TeresaRodr_ @MailloAntonio @Pablo_Iglesias_ @pilartavora Pilar González, Mari García y Pepe Chamizo. A las 11:00 en la nave 1 del FIBES (Avda. Alcalde Luis Uruñuela) y hay que sacar entrada gratuita aquí:</t>
  </si>
  <si>
    <t>MADRID</t>
  </si>
  <si>
    <t>https://bit.ly/2DByp3L</t>
  </si>
  <si>
    <t>Provincia de Cádiz</t>
  </si>
  <si>
    <t>#AdelanteAndalucia</t>
  </si>
  <si>
    <t>http://unidadpopular.es</t>
  </si>
  <si>
    <t>Sita Carapappel</t>
  </si>
  <si>
    <t>Jajajaja Jajaja dictadura Jajaja de Pablo Iglesias Jajaja y Franco demócrata dicen ahora, me partooo RT @eldiarioes: Hermann Tertsch cree que la monarquía sirve "para evitar que sea necesaria una guerra para impedir una dictadura de Pablo Iglesias"</t>
  </si>
  <si>
    <t>https://twitter.com/eldiarioes/status/1065737186279067648
https://www.eldiario.es/rastreador/Hermann-Tertsch-monarquia-Pablo-Iglesias_6_838576136.html</t>
  </si>
  <si>
    <t>https://pbs.twimg.com/media/Dsotr9HXcAA16pW.jpg</t>
  </si>
  <si>
    <t>Antonio Garcia Leal</t>
  </si>
  <si>
    <t>Operación Kitchen': El chófer de Luis Bárcenas dio las claves de la alarma para el robo  #tatarlak Ya que el sr @pablocasado_ no me contestará, le preguntare a @Pablo_Iglesias_ como líder antagónico del ideario del sr Casado ¿Usted que piensa de esto?</t>
  </si>
  <si>
    <t xml:space="preserve">Mordor </t>
  </si>
  <si>
    <t>Corredurías varias... y de vez en cuando al Derecho.</t>
  </si>
  <si>
    <t>http://ow.ly/cLVO30mJ1id</t>
  </si>
  <si>
    <t>El Vendrell</t>
  </si>
  <si>
    <t>Miembro de la ejecutiva Esquerra Republicana Cataluña de Vendrell Republicano por convicción. Portavoz de la @XVendrellenca #tatarlak</t>
  </si>
  <si>
    <t>https://projecto2019vendre.wixsite.com/tatarlak</t>
  </si>
  <si>
    <t>Es OBVIO que @PSOE @empleogob están haciendo muy poco, por no decir NADA en pro de EMPLEO DIGNO y SOSTENIBLE en todas las edades, que es el pilar principal del estado de bienestar ¿Por qué @Pablo_Iglesias_ no estamos EXIGIÉNDOLES en este tema ACTUACIONES CONTUNDENTES YA?</t>
  </si>
  <si>
    <t>Radar Cojedes</t>
  </si>
  <si>
    <t>https://ift.tt/2r4c4nH</t>
  </si>
  <si>
    <t>Creado para ser referencia en materia de publicidad digital en el área del Estado Cojedes. Experiencia a su alcance para proyectar ventas</t>
  </si>
  <si>
    <t>Cab_eve</t>
  </si>
  <si>
    <t>Nuestro Secretario General, como no podía ser de otra manera, aporta SENSATEZ Y GENEROSIDAD!!! Grande @Pablo_Iglesias_ #EstaEnNuestroADN</t>
  </si>
  <si>
    <t>http://cadenaser.com/programa/2018/11/22/hoy_por_hoy/1542900365_285470.html?autoplay=</t>
  </si>
  <si>
    <t>PODEMOS!! Podemos Vallekas!! http://www.podemos.info</t>
  </si>
  <si>
    <t>▶ @ExpositoCOPE "¿Con alguien tan inconstitucional como @Pablo_Iglesias_ pacta el @PSOE todo, hasta los presupuestos?</t>
  </si>
  <si>
    <t>https://bit.ly/2DF5ICQ</t>
  </si>
  <si>
    <t>https://pbs.twimg.com/media/Dsrt22aXgAA6mAZ.jpg</t>
  </si>
  <si>
    <t>Radar Apure</t>
  </si>
  <si>
    <t>Rojillo-andalú 🎗#15MLibertad</t>
  </si>
  <si>
    <t>San Fernando De Apure</t>
  </si>
  <si>
    <t>#SanchismoEs el plan de @pablo_iglesias_ para cambiarlo todo sin que nada cambie 😠</t>
  </si>
  <si>
    <t>Creado para ser referencia en materia de publicidad digital en el área del Estado Apure. Experiencia a su alcance para proyectar ventas</t>
  </si>
  <si>
    <t>https://pbs.twimg.com/media/Dsr96dsWoAAMpS9.jpg</t>
  </si>
  <si>
    <t>País Andaluz</t>
  </si>
  <si>
    <t>Decepcionado con lo que veo :-(</t>
  </si>
  <si>
    <t>Miguel Pérez López</t>
  </si>
  <si>
    <t>Del Cantábrico al Mediterráneo, un eje que corre prisa hacer no solo para mercancías @UEmadrid @CasaReal @sanchezcastejon @pablocasado_ @Pablo_Iglesias_ @Albert_Rivera  vía @periodicoaragon</t>
  </si>
  <si>
    <t>https://www.elperiodicodearagon.com/noticias/opinion/cantabrico-mediterraneo-eje-corre-prisa_1325642.html</t>
  </si>
  <si>
    <t>ingeniero Tecnico Diseño Industrial,collecting information Divulgador o recolector de Noticias,tendencias tecnologicas, marketing y productos</t>
  </si>
  <si>
    <t>🦅Karcel-Seta 🇪🇸 🇺🇲 🇨🇵 🇮🇱</t>
  </si>
  <si>
    <t>¿Señor @sanchezcastejon , acaso pensaba Ud que se podía fiar de @Pablo_Iglesias_ ? Nadie se puede fiar de un individuo que traiciona su propio país y la gente que pretende representar. Lo único que le interesa es la plata, guita, money, o cómo lo llame</t>
  </si>
  <si>
    <t>https://okdiario.com/espana/2018/11/23/iglesias-prepara-abandonar-sanchez-si-hay-adelanto-electoral-3382639</t>
  </si>
  <si>
    <t>España 🇪🇸🇪🇸</t>
  </si>
  <si>
    <t>Facha recalcitrante. Cuando la mugre golpista, batasuna o progre comunisto-sociata me llama FACHA, me llena de orgullo</t>
  </si>
  <si>
    <t>Pablo Iglesias pierde el juicio contra Inda porque la noticia de su cuenta en un banco offshore "es veraz"</t>
  </si>
  <si>
    <t>alejandro romero</t>
  </si>
  <si>
    <t>Hola @Pablo_Iglesias_ ¿Podrías dar alguna explicación al sinsentido de votación de tu partido? #PorUnaLeyJusta Creo que el colectivo ciclista la merece. Gracias.</t>
  </si>
  <si>
    <t>https://okdiario.com/espana/2017/04/18/iglesias-pierde-juicio-inda-noticia-cuenta-banco-offshore-veraz-920141#.W_gGfMLdUBI.twitter</t>
  </si>
  <si>
    <t>https://pbs.twimg.com/media/Dsr6_ZXX4AANgIp.jpg</t>
  </si>
  <si>
    <t>🌹manuela_murias🌹</t>
  </si>
  <si>
    <t>Pablo Iglesias renuncia a plantar cara a Manuela Carmena en Madrid  vía @HoyporHoy</t>
  </si>
  <si>
    <t>Sabíamos que @Pablo_Iglesias_ no podía pronunciar la palabra ESPAÑA. Él mismo lo ha dicho. Ahora también sabemos que la integridad de *su patria* se la trae muy floja. De esa España que tan poco quiere pero que tanto le paga para odiarla. ASCO DE GENTUZA</t>
  </si>
  <si>
    <t>http://cadenaser.com/programa/2018/11/22/hoy_por_hoy/1542900365_285470.html?ssm=tw</t>
  </si>
  <si>
    <t>https://okdiario.com/espana/2018/11/23/iglesias-califica-patriotismo-extrano-defender-soberania-gibraltar-3382790</t>
  </si>
  <si>
    <t xml:space="preserve">LEON, la tierra de ZP </t>
  </si>
  <si>
    <t>Socialista-PSOE -Prefiero morir de pie,que vivir de rodillas.Un paso ATRAS, ni para coger impulso.Creo firmemente en mis principios.No,no todos somos iguales</t>
  </si>
  <si>
    <t>http://page.is/manuela-murias</t>
  </si>
  <si>
    <t>@PubliMBI</t>
  </si>
  <si>
    <t>¿Cuándo @Pablo_Iglesias_ vamos a empezar a EXIGIR al gob. que ACTÚE para que en este país la experiencia profesional, la cualificación, tener &gt;45 años, los drchos. asociados, etc., en vez de una ventaja sea un INCONVENIENTE para conseguir EMPLEO? @PSOE @mvalerio_gu @empleogob</t>
  </si>
  <si>
    <t>Valencia</t>
  </si>
  <si>
    <t>Mario Briceño Iragorry</t>
  </si>
  <si>
    <t>La Nueva Red Social de Mario Briceño Irragory Especialista en marketing digital para posicionar tu marca o productos. Excelente equipo de Comunity Manager</t>
  </si>
  <si>
    <t>https://www.instagram.com/publimbi/?hl=es</t>
  </si>
  <si>
    <t>"En esta época, después de 15M, después del movimiento feminista del 8 de marzo, hay una nueva España que se abre paso y que dice 'gracias' a la monarquía por los servicios prestados, pero el futuro va a ser de otra manera". 📻@Pablo_Iglesias_ en... RT @ahorapodemos: "En esta época, después de 15M, después del movimiento feminista del 8 de marzo, hay una nueva España que se abre paso y que dice 'gracias' a la monarquía por los servicios prestados, pero el futuro va a ser de otra manera". 📻@Pablo_Iglesias_ en @HoyPorHoy</t>
  </si>
  <si>
    <t>Pablo Iglesias</t>
  </si>
  <si>
    <t>💚 Mañana estaré en Sevilla para compartir la ilusión de la campaña de Adelante Andalucía. Se abre un horizonte de cambio en Andalucía. 👉🏽 Reserva tu entrada (gratuita) aquí:</t>
  </si>
  <si>
    <t>https://twitter.com/ahorapodemos/status/1065891594900045825</t>
  </si>
  <si>
    <t>https://pbs.twimg.com/media/DsrN0GGW0AAtyEj.jpg</t>
  </si>
  <si>
    <t>https://pbs.twimg.com/media/DssPoLwX4AAJmu6.jpg</t>
  </si>
  <si>
    <t>Asturias</t>
  </si>
  <si>
    <t>Padre. Secretario Gral. de @ahorapodemos y diputado en el Congreso. Profesor honorífico de la UCM. Nadie duda de que este país ya ha cambiado. ¡Sí se puede!</t>
  </si>
  <si>
    <t>Fundación DENAES</t>
  </si>
  <si>
    <t>Para @Pablo_Iglesias_, recuperar Gibraltar es algo patriotero. Nada nuevo lo de este charlatán hispanófobo.</t>
  </si>
  <si>
    <t>Fundación para la Defensa de la Nación Española http://www.nacionespanola.org</t>
  </si>
  <si>
    <t>http://www.denaes.es</t>
  </si>
  <si>
    <t>Migrations &amp; Conflicts</t>
  </si>
  <si>
    <t>Hola @Pablo_Iglesias_ ¿Me puedes seguir para un DM ?</t>
  </si>
  <si>
    <t>Investigador. Me interesan #fronteras #migraciones #conflictos #refugiados #CrimenOrganizado #terrorismo El único medio de vencer en una guerra es evitarla.</t>
  </si>
  <si>
    <t>http://migrationsandconflicts.blogspot.com</t>
  </si>
  <si>
    <t>España es el único país de Europa que no cuenta con dietistas-nutricionistas en su sistema sanitario público @UEmadrid @CasaReal @sanchezcastejon @Pablo_Iglesias_ @pablocasado_ @Albert_Rivera</t>
  </si>
  <si>
    <t>http://shr.gs/KZ0Ro1E</t>
  </si>
  <si>
    <t>Noticiero Universal</t>
  </si>
  <si>
    <t>Pablo Iglesias a Manuela Carmena: no sería alcaldesa sin ellos -</t>
  </si>
  <si>
    <t>Señor X</t>
  </si>
  <si>
    <t>https://noticierouniversal.com/actualidad/pablo-iglesias-a-manuela-carmena-no-seria-alcaldesa-sin-ellos/</t>
  </si>
  <si>
    <t>No se les cae porque ninguno @sanchezcastejon @Albert_Rivera @pablocasado_ @Pablo_Iglesias_ y no digamos @QuimTorraiPla @gabrielrufian y demás gentuza, ni tienen vergüenza ni educación. #Abstenciónelecciones RT @monikcon62: Ya sabéis que soy muyyy preguntona: "¿Póliticos de todas las tendencias,no se os cae la cara de vergüenza por marear la pérdiz y montar númerito tras númerito sin llevar a nada?"</t>
  </si>
  <si>
    <t>https://twitter.com/monikcon62/status/1065666281788055559</t>
  </si>
  <si>
    <t>Barcelona, España</t>
  </si>
  <si>
    <t>Sevilla, España</t>
  </si>
  <si>
    <t>Noticias en tiempo real</t>
  </si>
  <si>
    <t>Nos caeremos y nos levantaremos. Nuestra fuerza hará posible nuestros deseos. Sobre todo, educación y respeto</t>
  </si>
  <si>
    <t>http://www.noticierouniversal.com</t>
  </si>
  <si>
    <t>CELAG</t>
  </si>
  <si>
    <t>📚 Lanzamos los Cuadernos de Formación 2018 de CELAG 📚 Participan: 🇪🇨 @MashiRafael 🇪🇸@Pablo_Iglesias_ 🇨🇴@ernestosamperp Descarga el material de forma gratuita desde nuestra web 👇</t>
  </si>
  <si>
    <t>http://bit.ly/2Dw4mu2</t>
  </si>
  <si>
    <t>pic.twitter.com/Je6lXkDYJt</t>
  </si>
  <si>
    <t>Max Bernal Montes</t>
  </si>
  <si>
    <t>How populist are you?  Cerca a Barack Obama lejos de Pablo Iglesias</t>
  </si>
  <si>
    <t>América Latina</t>
  </si>
  <si>
    <t>Centro Estratégico Latinoamericano de Geopolítica / #PensandoLatinoamérica Política, Economía y Elecciones en América Latina</t>
  </si>
  <si>
    <t>http://www.celag.org</t>
  </si>
  <si>
    <t>https://gu.com/p/9qt5q?CMP=share_btn_fb</t>
  </si>
  <si>
    <t>De todos lados</t>
  </si>
  <si>
    <t>Biólogo especialista en conservación</t>
  </si>
  <si>
    <t>Oops, @pablo_iglesias_ se alía con un periodista de La Vanguardia, un diario de derechas, para difundir su mensaje de extremo centro. De asaltar los cielos al chalet, de la mano de la derecha. Ese era el 'cambio' prometido por los podemitas. Menudo timo al 15M</t>
  </si>
  <si>
    <t>https://pbs.twimg.com/media/Dsr2KEnXoAAeKgj.jpg</t>
  </si>
  <si>
    <t>Federación AICE</t>
  </si>
  <si>
    <t>Premio Accesibilidad 2018 a @Pablo_Iglesias_ por su sensibilidad con las Barreras de Comunicación, teniendo sus videos propios de comunicados subtitulados. @pilar_lima @cesyaes @OADIScapacidad @PodemosCMadrid @AdaColau @jcelada @BCN_Accessible @teatroaccesible @PodemosCMadrid</t>
  </si>
  <si>
    <t>https://pbs.twimg.com/media/DsrxYM_WoAAXJxP.jpg</t>
  </si>
  <si>
    <t>Pa_comer</t>
  </si>
  <si>
    <t>Pablo Iglesias no se refiere a ninguna de las Repúblicas en las que él -de ser su Presidente- en unas elecciones pueda ser recambiado por otro. Fácil de deducir. RT @tony73_: A qué república se refiere Pablo Iglesias? Porque, claro, no sabemos si es a Alemania, Francia, Estados Unidos o más bien a Cuba, Venezuela Corea del Norte o la República Popular China. La diferencia entre ambos grupos es el respeto a la libertad, propiedad privada y a la Vida.</t>
  </si>
  <si>
    <t>La Federación AICE es una entidad sin ánimo de lucro, formada por personas con discapacidad auditiva, implantados cocleares y sus familias, y profesionales</t>
  </si>
  <si>
    <t>http://www.implantecoclear.org</t>
  </si>
  <si>
    <t>https://twitter.com/tony73_/status/1065675401278701569
https://twitter.com/libertaddigital/status/1065523550281289728</t>
  </si>
  <si>
    <t>Generación Enciclopedia Álvarez. Visualizo, participo y no me trago todo lo que leo, veo y escucho.</t>
  </si>
  <si>
    <t>alfonso freire</t>
  </si>
  <si>
    <t>Texto @_raulpina_ Que @Pablo_Iglesias_ no domine la economía no IMPLICA q no tenga sentido común para ASESORARSE. En un escenario de mayor prima riesgo o subida de tipos el servicio de la DEUDA sería el verdadero "AZOTE SOCIAL". Hay puntos INTERMEDIOS.</t>
  </si>
  <si>
    <t>http://www.elmundo.es/espana/2018/11/23/5bf7ccc0268e3e66388b45d4.html</t>
  </si>
  <si>
    <t>Pablo Iglesias "El Chepas" dice que no apoyará a Pedro Sánchez si defiende la españolidad de Gibraltar ante el Reino Unido -</t>
  </si>
  <si>
    <t>https://noticierouniversal.com/actualidad/pablo-iglesias-el-chepas-dice-que-no-apoyara-a-pedro-sanchez-si-defiende-la-espanolidad-de-gibraltar-ante-el-reino-unido/</t>
  </si>
  <si>
    <t>Tres Cantos, España</t>
  </si>
  <si>
    <t>Aprendiz de economía, amigo de la filosofía y.... algo de TODO y mucho de NADA. Pero..... resisto.</t>
  </si>
  <si>
    <t>Afectados Cooperativas Prensa</t>
  </si>
  <si>
    <t>Desesperanzadora noticia para @Afectados_COOP: la nueva #cotización para 2019 es la puntilla para los #freelances con ingresos inferiores al #SMI ¿Dos subidas en menos de 1 año? ¿@mvalerio_gu, @Pablo_Iglesias_ @sanchezcastejon dónde está su sentido común? Será nuestra RUINA😭 RT @fdepalacio: La cuota mínima de los autónomos sólo subirá 5,3 euros y los societarios podrían elegir régimen  vía @diarioAyE</t>
  </si>
  <si>
    <t>https://twitter.com/fdepalacio/status/1065932555621421056
https://www.autonomosyemprendedor.es/articulo/actualidad/cuota-minima-autonomos-solo-subira-55-euros-societarios-podrian-elegir-regimen/20181122114120018212.html</t>
  </si>
  <si>
    <t>Jaime Donoso Lorenzo</t>
  </si>
  <si>
    <t>El iluminado de Pablo Iglesias Chávez se creía que ya era el dueño de España firmando los presupuestos de los retrasados mentales de los sociatas Se va a comer una mierda jajajajajajajajajajajajajajajajajajaj##Presupuestos</t>
  </si>
  <si>
    <t>Relación con los medios de la Asociación de Afectados por las Cooperativas (ACF) 💻🎥📞🎙️📡</t>
  </si>
  <si>
    <t>https://afectadosporlascooperativas.wordpress.com/</t>
  </si>
  <si>
    <t>Me gusta debatir de política, siempre intento añadirle sentido común a las cosas.</t>
  </si>
  <si>
    <t>Europa Press TV</t>
  </si>
  <si>
    <t>. @Pablo_Iglesias_ insiste a @ManuelaCarmena: "Hay que sumar todas las piezas"</t>
  </si>
  <si>
    <t>https://bit.ly/2R2DZzU</t>
  </si>
  <si>
    <t>pic.twitter.com/XNfpQu9oYb</t>
  </si>
  <si>
    <t>pressdigital</t>
  </si>
  <si>
    <t>Pablo Iglesias asegura que no apoyará a Pedro Sánchez para "patrioterismos extraños" en relación con Gibraltar</t>
  </si>
  <si>
    <t>https://ift.tt/2DRs9pj</t>
  </si>
  <si>
    <t>Twitter oficial de Europa Press Televisión, la sección de informativos de la agencia de noticias privada líder en España | YouTube: https://goo.gl/EzlxyC</t>
  </si>
  <si>
    <t>http://www.europapress.tv</t>
  </si>
  <si>
    <t>Diario digital plural e independiente donde puedes informarte y participar. Síguenos en Facebook: https://www.facebook.com/pressdigitalteinforma</t>
  </si>
  <si>
    <t>http://www.pressdigital.es/</t>
  </si>
  <si>
    <t>¿Y mientras 'ponemos fecha' subimos la cuota de #autónomos? 😭 Está noticia es LAMENTABLE para #freelances afectados por el caso @FactooES 🤬 Es la gota que colma el vaso: @Afectados_COOP arruinados con las sanciones de la @info_TGSS 😱@mvalerio_gu @amonterosoler @Pablo_Iglesias_ RT @MJLandaburu: De la mesa de hoy NO se ha salido con acuerdo. Pero sí con el compromiso del Gobierno de poner fecha a la entrada en vigor de la cotización por ingresos reales. Continuamos con el diálogo.</t>
  </si>
  <si>
    <t>Republica.com</t>
  </si>
  <si>
    <t>Pablo Iglesias asegura que no apoyará a Sánchez para "patrioterismos extraños" con Gibraltar</t>
  </si>
  <si>
    <t>https://twitter.com/MJLandaburu/status/1065588673511600138</t>
  </si>
  <si>
    <t>https://pbs.twimg.com/media/Dsm6x9AXoAAA9As.jpg</t>
  </si>
  <si>
    <t>https://www.republica.com/2018/11/23/pablo-iglesias-asegura-que-no-apoyara-a-sanchez-para-patrioterismos-extranos-con-gibraltar/</t>
  </si>
  <si>
    <t>https://pbs.twimg.com/media/DssN_MOWwAABQ0j.jpg</t>
  </si>
  <si>
    <t>Frente al periodismo de partido entra en http://www.republica.com, el periódico en Internet que lidera Pablo Sebastián.</t>
  </si>
  <si>
    <t>http://www.republica.com</t>
  </si>
  <si>
    <t>"Ayer escribí al presidente y le he sido muy claro: para defender a la gente trabajadora del Campo de Gibraltar puede contar con nosotros, para patrioterismos extraños, no." @Pablo_Iglesias_ en @HoyPorHoy</t>
  </si>
  <si>
    <t>J.C.J.M</t>
  </si>
  <si>
    <t>Pablo Iglesias: Gibraltar es un patrioterismo extraño.</t>
  </si>
  <si>
    <t>https://pbs.twimg.com/media/DsrGUYqW0AAOPas.jpg</t>
  </si>
  <si>
    <t>Comenta con José</t>
  </si>
  <si>
    <t>Le recuerdo a @Pablo_Iglesias_ que el esta en contra de los paraísos fiscales y #Gibraltar creo que esta considerado un paraíso fiscal. RT @comentaconjose: Iglesias asegura que no apoyará a Sánchez para "patrioterismos extraños" en relación con Gibraltar  vía @epnacional</t>
  </si>
  <si>
    <t>Madrid (España)</t>
  </si>
  <si>
    <t>El defecto del capitalismo es el desigual reparto de la riqueza, el del comunismo el igualitario reparto de la miseria. Me sigues, te sigo.</t>
  </si>
  <si>
    <t>https://twitter.com/comentaconjose/status/1065929917769162754
https://www.europapress.es/nacional/noticia-pablo-iglesias-asegura-no-apoyara-pedro-sanchez-patrioterismos-extranos-relacion-gibraltar-20181123115328.html</t>
  </si>
  <si>
    <t>Andalucía, España 🇪🇸</t>
  </si>
  <si>
    <t>Informático, Blogger, Comentarista, CommunityManager, Consejero, Amigo https://www.instagram.com/comentaconjose https://facebook.com/comentaconjose</t>
  </si>
  <si>
    <t>https://comentaconjose.blogspot.com.es/</t>
  </si>
  <si>
    <t>josep turu</t>
  </si>
  <si>
    <t>El PP se quiere suicidar: pide que se ilegalicen las asociaciones que fomenten "ideologías populistas que enfrenten a los ciudadanos" ¡No recuerdo mejor definición del PP que ésta! #PP #SiSePuede #Franco #BuenosDiasMundo @protestona1 @Esparroqui @ALTER_info @Pablo_Iglesias_</t>
  </si>
  <si>
    <t>Spain, Pirineos, Huesca</t>
  </si>
  <si>
    <t>Ver, relatar, pensar e imaginar el mundo. Escribir &amp; fotografiar. #fotografía,#literatura,#progreso, #política, #relatos, #novela, #fotografías</t>
  </si>
  <si>
    <t>http://serraniadepalabras.blogspot.com/</t>
  </si>
  <si>
    <t>Caracas, Venezuela</t>
  </si>
  <si>
    <t>Carlos Doblado</t>
  </si>
  <si>
    <t>Quizá @Pablo_Iglesias_ puede traerse a algún amigo de Venezuela que lo mejore, allí de miseria van sobrados y seguro que pueden aportarnos ideas sobre lo que NO hacer. RT @manuel_llamas: Iglesias carga contra Bruselas y el FMI por desmontar sus Presupuestos: "Ofrecen miseria social" a España  Pablo Iglesias es el mayor experto en "miseria", tanto social como económica y moral</t>
  </si>
  <si>
    <t>https://twitter.com/manuel_llamas/status/1065927580098924545
https://www.elmundo.es/espana/2018/11/23/5bf7ccc0268e3e66388b45d4.html</t>
  </si>
  <si>
    <t>www.carlosdoblado.com</t>
  </si>
  <si>
    <t>Fundador y CEO de Ágora EAFI. Azote de elEconomista y de su cobarde cabra. Tabarnés escribiendo en El Confidencial.</t>
  </si>
  <si>
    <t>http://www.agoraeafi.com</t>
  </si>
  <si>
    <t>Comunidad de Madrid, España</t>
  </si>
  <si>
    <t>laSexta Noticias</t>
  </si>
  <si>
    <t>.@Pablo_Iglesias_ no apoyará a Pedro @sanchezcastejon para "patrioterismos extraños" con Gibraltar</t>
  </si>
  <si>
    <t>http://atres.red/rz35j6</t>
  </si>
  <si>
    <t>El twitter de laSexta | Noticias. Te contamos todo lo que ocurre en el momento que ocurre.</t>
  </si>
  <si>
    <t>http://www.lasexta.com/noticias/</t>
  </si>
  <si>
    <t>AYLA</t>
  </si>
  <si>
    <t>Pepe Contreras</t>
  </si>
  <si>
    <t>Pablo Iglesias | Madrid Entrevista de Pepa Bueno en la Ser. ⏩ "El puesto de Julio Rodríguez es lo de menos! Lo más importante es volver a ganar las elecciones con Manuela" ⏬⏬⏬⏬ Apoyemos a la plataforma de @MasMadrid__ Gracias: @Pablo_Iglesias_ ⏬⏬</t>
  </si>
  <si>
    <t>Andalucía, España</t>
  </si>
  <si>
    <t>Periodista, colegiado CPPA n 459. Andaluz. Analista político. Colaborador @elespanolcom Foto: @objtormenta</t>
  </si>
  <si>
    <t>http://www.pepecontreras.blogspot.com</t>
  </si>
  <si>
    <t>Por un Mundo donde seamos socialmente iguales, humanamente diferentes y totalmente libres!</t>
  </si>
  <si>
    <t>Floridablanca</t>
  </si>
  <si>
    <t>«Un debate ficticio por inexistente, el de Monarquía contra República, enmascara el auténtico debate, que es entre democracia y tiranía, entre España y los que anhelan su liquidación.» @AlejandroMuGo</t>
  </si>
  <si>
    <t>Ana Varela</t>
  </si>
  <si>
    <t>Nunca nadie sabe nada, no? Y si sabe...... se calla... @sanchezcastejon @mvalerio_gu @Pablo_Iglesias_ @pnique @ierrejon @Irene_Montero_ @Alber_Canarias @agarzon @iescolar @jesusmarana @JesusCintora RT @varelavito: Tantos años..... expulsados.... profesionales denunciantes del #Fraudeformacion</t>
  </si>
  <si>
    <t>http://www.redfloridablanca.es/respuesta-pablo-iglesias-alejandro-munoz/</t>
  </si>
  <si>
    <t>https://twitter.com/varelavito/status/1065920864158392321
https://twitter.com/EPAndalucia/status/1065655714373410816</t>
  </si>
  <si>
    <t>Debate político liberal-conservador: aportando nuevas ideas y rescatando aquellas que demostraron ser útiles y eficaces en el pasado.</t>
  </si>
  <si>
    <t>http://www.redfloridablanca.es</t>
  </si>
  <si>
    <t>País Vasco</t>
  </si>
  <si>
    <t>Psicóloga. Consultora y formadora. Ética social. Activismo contra el fraude público. Libro: Soy formadora y me niego al fraude en formación</t>
  </si>
  <si>
    <t>https://varelavito.wordpress.com</t>
  </si>
  <si>
    <t>Alerta Nacional</t>
  </si>
  <si>
    <t>Pablo Iglesias dice que no apoyará a Pedro Sánchez si defiende la españolidad de Gibraltar ante el Reino Unido</t>
  </si>
  <si>
    <t>https://www.alertanacional.es/pablo-iglesias-dice-que-no-apoyara-a-pedro-sanchez-si-defiende-la-espanolidad-de-gibraltar-ante-el-reino-unido/</t>
  </si>
  <si>
    <t>https://pbs.twimg.com/media/DssLGqjV4AASVX5.jpg</t>
  </si>
  <si>
    <t>Protestona</t>
  </si>
  <si>
    <t>“Nosotros vamos a seguir trabajando para sacar adelante el acuerdo de presupuestos, pero no soy ingenuo, es muy difícil. Creo que el Gobierno se podría haber movido más” @Pablo_Iglesias_ 👇🏻</t>
  </si>
  <si>
    <t>https://www.alertanacional.es</t>
  </si>
  <si>
    <t>pic.twitter.com/Bj7kNojYVg</t>
  </si>
  <si>
    <t>E.A. Moreno-Uribe</t>
  </si>
  <si>
    <t>¿Para qué sirve hoy la monarquía española?; por Pablo Iglesias  vía @el_pais</t>
  </si>
  <si>
    <t>Republicana, feminista, atea y roja. Partisana. De Podemos. http://Instagram.com/Protestona1 TLG https://t.me/protestona1 https://www.facebook.com/Protestona2/</t>
  </si>
  <si>
    <t>http://alcantarillasocial.com/author/protestona1</t>
  </si>
  <si>
    <t>https://elpais.com/elpais/2018/11/21/opinion/1542806031_921444.html?id_externo_rsoc=TW_CC</t>
  </si>
  <si>
    <t>Caracas,Venezuela</t>
  </si>
  <si>
    <t>Comunicador, escritor y crítico. Autor de 27 libros sobre historiografia del teatro venezolano. Como dramaturgo tiene 6 piezas, dos ya estrenadas.</t>
  </si>
  <si>
    <t>http://elespectadorvenezolano.blogspot.com</t>
  </si>
  <si>
    <t>Mmutfilo</t>
  </si>
  <si>
    <t>Hola Sr @sanchezcastejon @Albert_Rivera @pablocasado_ @Pablo_Iglesias_ Pensaba que usted no estaba en eso que Ud crítica tanto Sr @sanchezcastejon y resulta que tiene mas que callar que de hablar #SanchezLargate RT @RACATOL: Sr @sanchezcastejon se le ha caído esto, x si se piensa q no nos damos cuenta, ya se lo dejo yo👇👇</t>
  </si>
  <si>
    <t>https://twitter.com/RACATOL/status/1065719892945584128</t>
  </si>
  <si>
    <t>https://pbs.twimg.com/media/DsoylnnWkAArp-4.jpg</t>
  </si>
  <si>
    <t>noticiasgibraltar</t>
  </si>
  <si>
    <t>Soy directo,marketing y dirección de equipos, defensor de las personas en riesgo esperando la promesa para la segunda oportunidad para los autónomos arruinados</t>
  </si>
  <si>
    <t>Mientras que Pedro Sánchez ha vuelto a reiterar la postura española de vetar el acuerdo de Brexit si no se aclara el caso de Gibraltar, Pablo Iglesias, líder de Podemos, dice que no está dispuesto a apoyar al Gobierno en "patrioterismos extraños"</t>
  </si>
  <si>
    <t>https://noticiasgibraltar.es/campo-gibraltar/noticias/3977/pablo-iglesias-no-apoyara-patrioterismos-extranos-gobierno-relacion</t>
  </si>
  <si>
    <t>https://pbs.twimg.com/media/DssJPvMXgAAdkDz.jpg</t>
  </si>
  <si>
    <t>María de Tabarnia 🇪🇸 🌺</t>
  </si>
  <si>
    <t>🔴 El enemigo público de ESPAÑA, @Pablo_Iglesias_, acusa a Bruselas y FMI de querer «miseria social» para España Mira, Coletas, quienes quieren miseria económica, política, jurídica, territorial y social de ESPAÑA eres tú y todo el Gobierno Frankenstein.</t>
  </si>
  <si>
    <t>https://trib.al/yPLlmKh</t>
  </si>
  <si>
    <t>http://noticiasgibraltar.es</t>
  </si>
  <si>
    <t>Barcelona, Cataluña, ESPAÑA</t>
  </si>
  <si>
    <t>Enamorada de la Mar y de la Luna, de la cultura, arte, música, deporte, de mis hijos, de Dios, del AMOR... "Cualquier noche de estas, volverá a brillar el Sol".</t>
  </si>
  <si>
    <t>Teresa</t>
  </si>
  <si>
    <t>🔴Pablo Iglesias: "Los xenófobos no tienen razón, pero lo que ocurre en Italia es resultado del fracaso de la Comisión Europea" DIRECTO➡</t>
  </si>
  <si>
    <t>León Fernando Del Canto — حمزة</t>
  </si>
  <si>
    <t>“Que el CIS se empeñe en no preguntar por esto es muy significativo.” ¿Para qué sirve hoy la monarquía? | Opinión | EL PAÍS  @Pablo_Iglesias_</t>
  </si>
  <si>
    <t>http://atres.red/4ncii5744</t>
  </si>
  <si>
    <t>https://pbs.twimg.com/media/DssIn2vXoAAEcJ_.jpg</t>
  </si>
  <si>
    <t>Ser Socialista es una opción, pero la gestión de la Junta de Andalucía, te hace replantearte muchas cosas</t>
  </si>
  <si>
    <t>Aldwych, London</t>
  </si>
  <si>
    <t>Escribo | Abogado | Barrister | Desde Andalucía a Oriente de Ida &amp; Vuelta | Feminismo | Abolicionista | #AbogacíaCrítica #QueTuViajeSeaLargo</t>
  </si>
  <si>
    <t>https://www.huffingtonpost.es/leon-fernando-del-canto-/narrar-la-vida-como-un-viaje_a_22012292/?ncid</t>
  </si>
  <si>
    <t>JorgeAleman1951@</t>
  </si>
  <si>
    <t>https://puntodeemancipacion.com/2018/11/23/conversacion-con-pablo-iglesias/</t>
  </si>
  <si>
    <t>Yolanda</t>
  </si>
  <si>
    <t>Pues porqué están escoltando al @Pablo_Iglesias_ RT @Mazzinguerzett1: @sanchezcastejon @PSOE @DiazCanelB Una duda que me viene a la mente.. ¿Por qué habéis reducido la escolta al juez Llarena?</t>
  </si>
  <si>
    <t>https://twitter.com/mazzinguerzett1/status/1065884142938857472</t>
  </si>
  <si>
    <t>AlRojoVivo</t>
  </si>
  <si>
    <t>🅰️hora Cantabria</t>
  </si>
  <si>
    <t>🇪🇸NACIONAL | @Pablo_Iglesias_ se muestra a favor del veto al acuerdo del Brexit UK-UE por parte del Gobierno de España pero "para defender a la gente trabajadora de Gibraltar, no por un patriotismo extraño"</t>
  </si>
  <si>
    <t>https://pbs.twimg.com/media/DsrrO42XoAEMcbY.jpg</t>
  </si>
  <si>
    <t>Un debate plural donde caben las opiniones y sugerencias de todos. De lunes a viernes, a las 11 horas, en @laSextaTV</t>
  </si>
  <si>
    <t>http://www.lasexta.com/programas/al-rojo-vivo/</t>
  </si>
  <si>
    <t>Santander</t>
  </si>
  <si>
    <t>Social Media 2.0 líder en Cantabria. Última hora urgente. Todo lo crucial al minuto. Periodistas titulados. FB/Twitter/Google+/Youtube/Instagram/Android app</t>
  </si>
  <si>
    <t>http://t.me/ahoracantabria</t>
  </si>
  <si>
    <t>🇪🇸 La ola a favor de un referéndum obliga a Pablo Iglesias a meter en agenda a la Monarquía  vía @izquierdadiario</t>
  </si>
  <si>
    <t>Agustín Fontenla</t>
  </si>
  <si>
    <t>Por un lado @luigidimaio dice: "La carnicería social que pide la UE no es posible”. Por otro, @Pablo_Iglesias_ afirma que Bruselas ofrece "miseria social" a España. Ambos coinciden en el objetivo de la "propuesta" de la UE.</t>
  </si>
  <si>
    <t>https://www.elmundo.es/espana/2018/11/23/5bf7ccc0268e3e66388b45d4.html
https://elpais.com/internacional/2018/11/22/actualidad/1542901896_187902.html</t>
  </si>
  <si>
    <t>http://www.laizquierdadiario.com/Estado-espanol-ante-la-ola-a-favor-de-un-referendum-Pablo-Iglesias-mete-en-agenda-la-Monarquia</t>
  </si>
  <si>
    <t>Entre Madrid y Moscú. Corresponsal del @canalciudadBA y de @mundoleodeportv. Colaborador regular de @eldiarioes. Visto en @Perficom, http://CTXT.es</t>
  </si>
  <si>
    <t>Sedoac.</t>
  </si>
  <si>
    <t>Que las trabajadoras de hogar y cuidados no tengan los mismos derechos que el resto de trabajadorxs como el derecho al paro es violencia #25NACUDE. ¡Por un trabajo digno! #EmpleoHogarDigno #SinViolencias @sanchezcastejon @agarzon @Pablo_Iglesias_</t>
  </si>
  <si>
    <t>https://youtu.be/73Bs3-62J9w</t>
  </si>
  <si>
    <t>Asociación conformada por mujeres empleadas del hogar, reivindicamos la igualdad plena de derechos sociales, políticos, económicos, civiles y laborales.</t>
  </si>
  <si>
    <t>http://serviciodomesticoactivo.blogspot.com.es/p/quienes-somos.html</t>
  </si>
  <si>
    <t>almarfu 🇪🇸</t>
  </si>
  <si>
    <t>Con tal de estar en contra de todo lo que huela a #España, este @Pablo_Iglesias_ es capaz de hasta defender que continue la existencia de un territorio que es un paraiso fiscal y donde acampan a sus anchas el narcotráfico y otras actividades delictivas RT @okdiario: Iglesias califica de "patriotismo extraño" defender la soberanía de Gibraltar</t>
  </si>
  <si>
    <t>https://twitter.com/okdiario/status/1065902550438821890
https://okdiario.com/espana/2018/11/23/iglesias-califica-patriotismo-extrano-defender-soberania-gibraltar-3382790?utm_campaign=ok&amp;utm_medium=Social&amp;utm_source=Twitter#Echobox=1542965030</t>
  </si>
  <si>
    <t>Ripense, con sangre charra y con corazón rojigualdo. Apasionado de la Historia de su Nación. 100% culé y 100% unionista. Implicado en el mundo tecnológico.</t>
  </si>
  <si>
    <t>DonPablo</t>
  </si>
  <si>
    <t>Mira @Pablo_Iglesias_ miseria la de tu modelo social Miseria en Venezuela Pasan hambre Comen basura</t>
  </si>
  <si>
    <t>https://pbs.twimg.com/media/Dsrnb8aWsAAyBxR.jpg</t>
  </si>
  <si>
    <t>MARION</t>
  </si>
  <si>
    <t>.@Pablo_Iglesias_ dice que no apoyará a Sánchez para «patriotismos extraños» en relación con el contencioso de Gibraltar, pero luego no le duelen prendas gritar en un mitin en Cataluña «Visca Catalunya Lliure i sobirana» cual nacionalista catalán. #BrexitARV</t>
  </si>
  <si>
    <t>Iglesias asegura que no apoyará a Sánchez para "patrioterismos extraños" en relación con Gibraltar  vía @epnacional</t>
  </si>
  <si>
    <t>Considero más valiente al que conquista sus deseos que al que conquista a sus enemigos,ya que la victoria más dura es la victoria sobre uno mismo.</t>
  </si>
  <si>
    <t>El gobierno debe ratificar YA el #Convenio189OIT las trabajadoras de hogar tenemos q estar en la mesa de negociación, q no se nos tenga en cuenta es violencia #25NACUDE #EmpleoHogarDigno #SinViolencias  @migrapies @sanchezcastejon @Pablo_Iglesias_</t>
  </si>
  <si>
    <t>José Muñoz</t>
  </si>
  <si>
    <t>Iglesias " en el plano internacional, Iglesias ha cargado contra Bruselas" Y en el club europeo estás o no y fuera hace hace frío. También cargaba su amigo griego y luego la realidad lo puso en su sitio.  vía @indpcom</t>
  </si>
  <si>
    <t>https://www.elindependiente.com/politica/2018/11/23/pablo-iglesias-defiende-gibraltar-los-trabajadores-no-patrioterismos-extranos/?utm_source=share_buttons&amp;utm_medium=twitter&amp;utm_campaign=social_share</t>
  </si>
  <si>
    <t>Los Barrios,Cádiz.</t>
  </si>
  <si>
    <t>Después de 43 años de trabajo,toca parar.Nueva etapa a la que adaptarse. Cuesta hacerlo.Aficionado ultrafondo</t>
  </si>
  <si>
    <t>Madridiario.es</t>
  </si>
  <si>
    <t>Después de la presentación de #MasMadrid2019, con la que @ManuelaCarmena irá a las elecciones al margen de Podemos, @Pablo_Iglesias_ reivindica el papel de la formación y pide generosidad a la alcaldesa</t>
  </si>
  <si>
    <t>andres 🎗🎗🎗</t>
  </si>
  <si>
    <t>Ayer @PepaBueno “entrevistó” a Casado, lo de entrevistar es por decir algo, lo dejó que diese un mitin electoral gratis en la SER y luego le rieron las gracias. Hoy ha entrevistado a Pablo Iglesias y ha sido incisiva( como debe de ser),después los tertulianos le han despellejado.</t>
  </si>
  <si>
    <t>https://www.madridiario.es/462459/iglesias-reivindica-su-papel:-si-no-hubieramos-propuesto-a-manuela-no-hubiera-sido-alcaldesa</t>
  </si>
  <si>
    <t>Primer diario digital de la Comunidad de Madrid.</t>
  </si>
  <si>
    <t>cadiz</t>
  </si>
  <si>
    <t>http://www.madridiario.es</t>
  </si>
  <si>
    <t>Amante de la música rock de los 70-80 lector, enamorado de mi tierra Andaluza y de los pueblos de España.</t>
  </si>
  <si>
    <t>Victor Tuda</t>
  </si>
  <si>
    <t>Iglesias carga contra la UE y el FMI por criticar el proyecto de PGE: "Atacan a la clase trabajadora de nuestro país"  "Calculamos bien los ingresos, quien lo tiene que defender en Europa es la ministra", @Pablo_Iglesias_ apunta a @NadiaCalvino</t>
  </si>
  <si>
    <t>https://www.europapress.es/nacional/noticia-iglesias-carga-contra-ue-fmi-criticar-proyecto-pge-atacan-clase-trabajadora-pais-20181123111410.html</t>
  </si>
  <si>
    <t>Madrit</t>
  </si>
  <si>
    <t>Hijo de mi tiempo. A veces tecleo aquí, a veces en otros lugares.</t>
  </si>
  <si>
    <t>Espacio Abierto</t>
  </si>
  <si>
    <t>Artículo de @josefmendi en @periodicoaragon "La encuesta filosofal" La psicología de la toma de decisiones a la hora de votar  @sanchezcastejon @Pablo_Iglesias_ @pablocasado_ @Albert_Rivera @PSOE @PPopular @ahorapodemos @CiudadanosCs</t>
  </si>
  <si>
    <t>@RadarMaracay</t>
  </si>
  <si>
    <t>https://www.elperiodicodearagon.com/noticias/opinion/encuesta-filosofal_1325634.html</t>
  </si>
  <si>
    <t xml:space="preserve">En la izquierda sumando </t>
  </si>
  <si>
    <t>http://espacioabiertoblog.wordpress.com/</t>
  </si>
  <si>
    <t>Venezuela</t>
  </si>
  <si>
    <t>Publicidad para tus productos</t>
  </si>
  <si>
    <t>UnGalegonaCapital🎗🔻🇵🇸🇨🇺🏳️‍🌈</t>
  </si>
  <si>
    <t>Pregunta sería.¿Si un gobierno está 10 meses sin control parlamentario, y el Tribunal Constitucional dicta sentencia de que ese gobierno no cumplía la ley, no es un #GolpedeEstado? @marianorajoy @Pablo_Iglesias_ @agarzon @pablocasado_ @Albert_Rivera @sanchezcastejon</t>
  </si>
  <si>
    <t>pep alava</t>
  </si>
  <si>
    <t>Brexit: Pablo Iglesias califica de "patriotismo extraño" defender la soberanía de Gibraltar</t>
  </si>
  <si>
    <t>Guadalix de la Sierra, Comunid</t>
  </si>
  <si>
    <t>Cuando más golpean las circunstancias a un pueblo yo me levantó contra las circustancias con más fuerza.</t>
  </si>
  <si>
    <t>Vitoria-Alava-Pais Vasco-Spain</t>
  </si>
  <si>
    <t>Teresa Coll</t>
  </si>
  <si>
    <t>Ensayo indigente  vía @abc_es PABLO IGLESIAS HACE GALA DE SU INDIGENENCIA MENTAL Y CULTURAL EN SU ARTÍCULO CONTRA LA MONARQUÍA</t>
  </si>
  <si>
    <t>Jose Manuel Ferradás</t>
  </si>
  <si>
    <t>Enric Juliana: "Sin Podemos, Sánchez no habría ganado las primarias del PSOE"  @ahorapodemos @Pablo_Iglesias_ @sanchezcastejon @PSOE @EnricJuliana</t>
  </si>
  <si>
    <t>https://www.abc.es/opinion/abci-ensayo-indigente-201811230117_noticia.html#ns_campaign=rrss-inducido&amp;ns_mchannel=abc-es&amp;ns_source=tw&amp;ns_linkname=noticia-opinion&amp;ns_fee=0</t>
  </si>
  <si>
    <t>https://errenteriagorria.blogspot.com/2018/11/enric-juliana-sin-podemos-sanchez-no.html</t>
  </si>
  <si>
    <t>https://pbs.twimg.com/media/Dsrhu-IWsAEG19k.jpg</t>
  </si>
  <si>
    <t>Católica, Monárquica, de derechas y del R. Madrid.</t>
  </si>
  <si>
    <t>Errenteria (Gipuzkoa)</t>
  </si>
  <si>
    <t>Apostando día a día por una Errenteria más libre, más igualitaria y más fraternal. Unidxs podemos +</t>
  </si>
  <si>
    <t>http://errenteriagorria.blogspot.com/</t>
  </si>
  <si>
    <t>ARن</t>
  </si>
  <si>
    <t>Pregunta @pablo_iglesias_ que para qué sirve el rey Pues para esto: para denunciar que él y el resto de partidos quieran hacer listas con nuestras ideologías. Que es algo horrendo.</t>
  </si>
  <si>
    <t>https://amp.elmundo.es/espana/2018/11/22/5bf691e9e5fdea305a8b465c.html?__twitter_impression=true</t>
  </si>
  <si>
    <t>Conozco mis obligaciones. Lucho por mis derechos.</t>
  </si>
  <si>
    <t>CONVERSACIÓN CON PABLO IGLESIAS  vía @wordpressdotcom</t>
  </si>
  <si>
    <t>ESdiario</t>
  </si>
  <si>
    <t>. @Albert_Rivera le recuerda a @Pablo_Iglesias_ que el Rey saca mejor nota que él en las encuestas  vía @ESdiario_com</t>
  </si>
  <si>
    <t>https://www.esdiario.com/170685726/Rivera-le-recuerda-a-Iglesias-que-el-Rey-saca-mejor-nota-que-el-en-las-encuestas.html</t>
  </si>
  <si>
    <t>Tras 16 años con la realidad política, social y empresarial de España, El Semanal Digital se convierte en ESdiario. Su portal de opinión sigue en @ElSemanalD.</t>
  </si>
  <si>
    <t>http://www.esdiario.com</t>
  </si>
  <si>
    <t>Podemos va con Pablo</t>
  </si>
  <si>
    <t>Alvaro Santos</t>
  </si>
  <si>
    <t>Mañana sábado tenemos a Pablo_Iglesias_ y agarzon acompañando #Sevillahoy junto a TeresaRodr_ y MailloAntonio ¡Y con la actuación de la chirigota de Vera Luque “No tengo el congo pa farolillos”! 💚#AdelanteAndalucía No te lo pierdas, prima!👇🏼👇🏼👇🏼 …</t>
  </si>
  <si>
    <t>Les dan igual los presupuestos, pero la sangria de votos que estan perdiendo es mas importante, @ahorapodemos @Pablo_Iglesias_ y mas como en andalucia que se van a la derecha RT @elconfidencial: Iglesias defenderá ante la dirección que no es viable agotar legislatura con los Presupuestos de Rajoy</t>
  </si>
  <si>
    <t>https://twitter.com/elconfidencial/status/1065905546014773248
https://www.elconfidencial.com/espana/madrid/2018-11-23/iglesias-direccion-presupuestos-psoe-legislatura_1663414/?utm_source=twitter&amp;utm_medium=social&amp;utm_campaign=ECDiarioManual</t>
  </si>
  <si>
    <t>Photographer</t>
  </si>
  <si>
    <t>topotamadre @</t>
  </si>
  <si>
    <t>Éste es el jugo que @pnique , @Pablo_Iglesias_ , @MonederoJC y @ierrejon quieren sacar de España. Otros de izquierda anteriores ya lo hicieron con el oro de Banco de España. RT @RossVzla29: POR FIN ALGUIEN SACA A LA LUZ PUBLICA LOS DÓLARES ROBADOS DE MARIA GABRIELA CHAVEZ,,,, ME DA UN FRESQUITO,,,</t>
  </si>
  <si>
    <t>https://twitter.com/RossVzla29/status/1064998626018111488</t>
  </si>
  <si>
    <t>pic.twitter.com/M91uVGfXlv</t>
  </si>
  <si>
    <t>🇪🇸Me gusta el fútbol, el vino, las mujeres y el rock and roll, pero lo que más me gusta es ver a los comunistas actuales ponerse morados. Español ante todo 🇪🇸</t>
  </si>
  <si>
    <t>ジェイク・サリー</t>
  </si>
  <si>
    <t>Entrevista @Pablo_Iglesias_  vía @YouTube</t>
  </si>
  <si>
    <t>https://youtu.be/S_-_Mt4WHfo</t>
  </si>
  <si>
    <t>🔴Pablo Iglesias (@Pablo_Iglesias_) carga contra Bruselas y el FMI por desmontar sus Presupuestos: considera que "ofrecen miseria social" a España #SalarioMínimoARV DIRECTO➡</t>
  </si>
  <si>
    <t>Radar Guarico</t>
  </si>
  <si>
    <t>http://atres.red/4ncii5728</t>
  </si>
  <si>
    <t>https://pbs.twimg.com/media/DsrftmcWwAAtL1P.jpg</t>
  </si>
  <si>
    <t>San Juan De Los Morros</t>
  </si>
  <si>
    <t>Creado para ser referencia en materia de publicidad digital en el área del Estado Guarico. Experiencia a su alcance para proyectar ventas</t>
  </si>
  <si>
    <t>maribel morte</t>
  </si>
  <si>
    <t>Nuestra patria necesita hoy dotarse de instrumentos institucionales republicanos que huyan de la uniformidad y el cesarismo—- artículo de @Pablo_Iglesias_</t>
  </si>
  <si>
    <t>KKO DIARIO</t>
  </si>
  <si>
    <t>Hermann Tertsch sigue sin dejar las drogas y dice que sin monarquía sería necesaria una guerra contra Pablo Iglesias. ¿De verdad no pueden ingresar a este hombre en un centro para que lo traten? #FelizFinde</t>
  </si>
  <si>
    <t>https://www.lapandereta.es/nuevo-ataque-de-hermann-tertsch-al-lider-de-podemos/</t>
  </si>
  <si>
    <t>Mostrando el KKO que montan y tienen en la cabeza la derecha y Pantuflo. ❤💛💜</t>
  </si>
  <si>
    <t>Mi corazón espera también, hacia la luz y hacia la vida, otro milagro de la primavera</t>
  </si>
  <si>
    <t>Clara Merín</t>
  </si>
  <si>
    <t>Muy interesante reflexión de @Pablo_Iglesias_ ¿Para qué sirve hoy la #monarquía? | Opinión | EL PAÍS</t>
  </si>
  <si>
    <t>Comunicación y estrategia digital para la cultura. Docente en la #UOC. Resp. de Comunicación en @Medialabprado Blogger y muy cultureta info@endecomunicacion.com</t>
  </si>
  <si>
    <t>http://www.endecomunicacion.com</t>
  </si>
  <si>
    <t>Ani Rubio</t>
  </si>
  <si>
    <t>¿Para qué sirve hoy la monarquía? , por @Pablo_Iglesias_</t>
  </si>
  <si>
    <t>https://elpais.com/elpais/2018/11/21/opinion/1542806031_921444.htm</t>
  </si>
  <si>
    <t>Nicolás Corredor</t>
  </si>
  <si>
    <t>Daniel Lacalle *vs* Pablo Iglesias: Impresión de Moneda y Devaluación.- - YouTube</t>
  </si>
  <si>
    <t>https://www.youtube.com/watch?v=0jD79xlT91Q</t>
  </si>
  <si>
    <t>http://vforvolume.com</t>
  </si>
  <si>
    <t>Bruselense</t>
  </si>
  <si>
    <t>jajajajajaja...ahora sabe qué es ser #autónomo...#Podemos @Pablo_Iglesias_ #Izquierda #PGE RT @liberal_mirada: Asociación podemita convoca una manifestación. Va una persona, y esta afirma que no puede desplegar la pancarta ante la imposibilidad de hacerla solo. 😂😂😂😂😂😢😢😢😂😂😂😂😂😂😂😂😂😂😢😢😂😂😂😂😂😂😂😂😂😢😢😂😂😂😂😂😂😂 Muero de risa 😂😂😂😂😂😂😂😂😂😂😂😂😢😢😂😂😂😂</t>
  </si>
  <si>
    <t>https://twitter.com/liberal_mirada/status/1065698331777802240</t>
  </si>
  <si>
    <t>https://pbs.twimg.com/media/Dsoe-UFXgAUDegR.jpg</t>
  </si>
  <si>
    <t>Bruselas</t>
  </si>
  <si>
    <t>Observador de la realidad política y social internacional: en defensa de la vida, la familia y la libertad religiosa</t>
  </si>
  <si>
    <t>http://bruselense.wordpress.com</t>
  </si>
  <si>
    <t>Servimedia</t>
  </si>
  <si>
    <t>Apoyo a @sanchezcastejon en el tema del Peñón. @Pablo_Iglesias_ lo hace por la gente del Campo de Gibraltar no por "patrioterismos extraños"</t>
  </si>
  <si>
    <t>Chelo M.S.</t>
  </si>
  <si>
    <t>Para que quiere este hombre ser presidente si no le gusta España??Brexit: Pablo Iglesias califica de "patriotismo extraño" defender la soberanía de Gibraltar</t>
  </si>
  <si>
    <t>https://www.servimedia.es/noticias/1094334</t>
  </si>
  <si>
    <t>Agencia de noticias Líder en Información Social. Desde 1989 narramos la actualidad social, política y económica de España. Somos grupo social ONCE</t>
  </si>
  <si>
    <t>http://www.servimedia.es</t>
  </si>
  <si>
    <t xml:space="preserve"> Madrid, Comunidad de Madrid, </t>
  </si>
  <si>
    <t>Leonesa madrileña. Liberal</t>
  </si>
  <si>
    <t>Mateo Villarrubia</t>
  </si>
  <si>
    <t>Teniendo en cuenta que #Galapagar tiene 33.000 habitantes, imagino que .@Pablo_Iglesias_ utilizará el tren para desplazarse desde su chalecito o casoplón a la capital, verdad ??? RT @Pablo_Iglesias_: 💚 Adelante Andalucía trabaja para defender el futuro de su tierra, protegiendo su medio ambiente, apostando por conectar por tren los municipios de más de 20.000 habitantes para frenar la dependencia del coche. @TeresaRodr_ en Marbella 👇🏽</t>
  </si>
  <si>
    <t>Jesus Rodriguez</t>
  </si>
  <si>
    <t>ElPaís, ya alineado con el Frente Popular y la voladura de la Constitución, publica una arremetida de Pablo Iglesias contra la monarquía. Titula¿Para qué sirve hoy la monarquía? La monarquía sirve para evitar que sea necesaria una guerra para impedir la dictadura que él pretende.</t>
  </si>
  <si>
    <t>https://twitter.com/Pablo_Iglesias_/status/1065615518521012224</t>
  </si>
  <si>
    <t>https://pbs.twimg.com/media/DsnJCcpXcAAdF3S.jpg</t>
  </si>
  <si>
    <t>Linares</t>
  </si>
  <si>
    <t>Cosecha de 1967. Y aquí les presento mis sueños y mis locuras más veniales. El resto es sólo mar...</t>
  </si>
  <si>
    <t>jose carlos lorenzo</t>
  </si>
  <si>
    <t>Pepe Aparicio</t>
  </si>
  <si>
    <t>La cuestión ahora es: ¿por qué ataca un comunista como Pablo Iglesias la Monarquía y defiende una república que disuelva aún más la nación? Los comunistas no quieren romper España, al menos, no...</t>
  </si>
  <si>
    <t>Menos mal q aún podemos no ratificar las torpezas de @sanchezcastejon en el Parlamento.... salvo q la izquierda pretenda defender el Colonialismo Británico en el S XXI. Le toca a @ahorapodemos y @Pablo_Iglesias_ retratarse y va a ser muy sonado. A ver a q se agarra RT @PPopular: ▶ @JoseRa_Ghdez explica en @EspejoPublico por qué Pedro Sánchez ha perdido el derecho de veto en relación al Brexit.</t>
  </si>
  <si>
    <t>https://www.libertaddigital.com/opinion/emilio-campmany/monarquia-para-que-86551/</t>
  </si>
  <si>
    <t>https://twitter.com/ppopular/status/1065883179909697536</t>
  </si>
  <si>
    <t>https://pbs.twimg.com/media/DsrHGSWV4AALNUp.jpg</t>
  </si>
  <si>
    <t>Liberal, Moderado, defensor de valores como familia y amistad. Natural de Aranjuez, apasionado de Valencia. Lo que no soporto es la demagogia. CMU NEBRIJA</t>
  </si>
  <si>
    <t>Luis</t>
  </si>
  <si>
    <t>En @ahorapodemos será por fecundación y si no, preguntado a @Irene_Montero_ o @Pablo_Iglesias_ RT @ahorapodemos: "Está muy bien que los monárquicos defiendan su opción, pero en 2018 se puede empezar a discutir si a la jefatura del Estado se accede por fecundación o por elección". 📻@Pablo_Iglesias_ en @HoyPorHoy</t>
  </si>
  <si>
    <t>https://twitter.com/ahorapodemos/status/1065886837078720512</t>
  </si>
  <si>
    <t>https://pbs.twimg.com/media/DsrK0LLWsAA7z4R.jpg</t>
  </si>
  <si>
    <t>Palma, España</t>
  </si>
  <si>
    <t>Respeto a la ley y a la democracia. Desprecio a supremacistas y borregos.</t>
  </si>
  <si>
    <t>expansioncom</t>
  </si>
  <si>
    <t>. @Pablo_Iglesias_ no apoyará a Pedro @sanchezcastejon para "patriotismos extraños" con #Gibraltar  #Brexit</t>
  </si>
  <si>
    <t>http://bit.ly/2PMOivn</t>
  </si>
  <si>
    <t>https://pbs.twimg.com/media/DsrUlkqXQAAWBhj.jpg</t>
  </si>
  <si>
    <t>Diario Expansión, líder en información económica. También puedes seguirnos en Facebook http://www.facebook.com/Expansion.com #mercados #economía #empresas</t>
  </si>
  <si>
    <t>http://www.expansion.com</t>
  </si>
  <si>
    <t>Expansión Economía</t>
  </si>
  <si>
    <t>https://pbs.twimg.com/media/DsrUXPYWwAE1PYD.jpg</t>
  </si>
  <si>
    <t>Cuenta oficial de la sección de Economía &amp; Política del diario @expansioncom.</t>
  </si>
  <si>
    <t>Leomon: autonomías o pensiones</t>
  </si>
  <si>
    <t>Tan sólo es un poquito de "jarabe democrático ", según vuestro líder @Pablo_Iglesias_ 😎 RT @PSOE: Todo nuestro apoyo y solidaridad con nuestros compañeros y compañeras del @psoedeandalucia ante la violenta actitud que ha llevado a suspender hoy un acto de campaña. La reivindicación laboral es un derecho. La palabra, también. La violencia, no. #MásAndalucía</t>
  </si>
  <si>
    <t>https://twitter.com/PSOE/status/1065722954124804097
https://twitter.com/psoedeandalucia/status/1065709859394469889</t>
  </si>
  <si>
    <t>SC_noc</t>
  </si>
  <si>
    <t>A Pablo Iglesias ya lo conocemos. SIN VERGÜENZA y ANTIPATRIOTA. España arreglaría muchos problemas cuando mucha chusma se la expulsara de aquí por no pasar un "test de mínimo patriotismo" confeccionado al efecto. HAY QUE EXPULSARLOS POR LAS BUENAS O POR LAS MALAS. RT @fdenaes: Para @Pablo_Iglesias_, recuperar Gibraltar es algo patriotero. Nada nuevo lo de este charlatán hispanófobo.</t>
  </si>
  <si>
    <t>Nerja, España</t>
  </si>
  <si>
    <t>Delegado de Tabarnia en Málaga.</t>
  </si>
  <si>
    <t>https://twitter.com/fdenaes/status/1065936827339743232</t>
  </si>
  <si>
    <t>Todo buen español debería mear siempre mirando a Inglaterra</t>
  </si>
  <si>
    <t>L. Curiel</t>
  </si>
  <si>
    <t>Una lección para dos cretinos comunistas que preferirían ver a Espsña como Cuba o Venezuela siempre que los despojos los gobernaran ellos @agarzon @Pablo_Iglesias_ Que nadie se pierda este breve hilo. Más largo hubiera sido insoportable para tan cortos personajillos RT @jitorreblanca: Estimados @Pablo_Iglesias_ y @agarzon Entre los 20 países más ricos, democráticos y desarrollados del mundo hay 12 que tienen un monarca como jefe de estado. Y los 20 países más pobres del mundo y con peor índice de desarrollo humano son todos repúblicas.</t>
  </si>
  <si>
    <t>balays01</t>
  </si>
  <si>
    <t>Solo con ver el cartel se nota como estos independentistas todo lo exageran parecen Pablo Iglesias.Segun encuestas puede haber 2,3 no 5,9. RT @leonpolitica: #Lasilenciosacat #EleccionesYa</t>
  </si>
  <si>
    <t>https://twitter.com/jitorreblanca/status/1065620157656109058</t>
  </si>
  <si>
    <t>https://pbs.twimg.com/media/DsnV_BOWkAEjB9a.jpg</t>
  </si>
  <si>
    <t>https://twitter.com/leonpolitica/status/1065739269094936578
https://twitter.com/kokecabrera/status/1065318135379705856</t>
  </si>
  <si>
    <t>España languidece y se rompe por culpa de una Casta Política corrupta. Es hora de cambiarla por gente decente: Con VOX</t>
  </si>
  <si>
    <t>Piensa en verde.Empresario.</t>
  </si>
  <si>
    <t>IU Sevilla ciudad🔻</t>
  </si>
  <si>
    <t>📣 ¡Nos vemos en el acto central de campaña de #AdelanteAndalucia! 💚 👨‍🦰👩 ¡Lujazo de cartel con @MailloAntonio, @TeresaRodr_, @agarzon y @Pablo_Iglesias_! 📅 Sábado, 24. ⏲️ 11 horas. 📍 Pabellón de @fibesevilla. 🗞️ Aquí más información 👉</t>
  </si>
  <si>
    <t>https://bit.ly/2S9Obqj</t>
  </si>
  <si>
    <t>Rodrigo Rui</t>
  </si>
  <si>
    <t>2018 SEMANA 47 (02) CGPJ _______ "Pedro Sánchez deja fuera del Consejo General del Poder Judicial a Victoria Rosell, la apuesta de Pablo Iglesias" ¿Un juez progresista de verdad en el...</t>
  </si>
  <si>
    <t>https://pbs.twimg.com/media/DsrRT_nXoAA6aIT.jpg</t>
  </si>
  <si>
    <t>https://www.facebook.com/permalink.php?story_fbid=2174294372791113&amp;id=100006317147425</t>
  </si>
  <si>
    <t>Coordinadora Local de @iuandalucia en #Sevilla | Facebook ➡ http://facebook.com/iusevillaciudad | Instagram ➡ http://Instagram.com/iusevillaciudad</t>
  </si>
  <si>
    <t>http://iusevillaciudad.org</t>
  </si>
  <si>
    <t>Santiago de Compostela</t>
  </si>
  <si>
    <t>Se leer, escribir y contar con los dedos y, sin embargo, no voy presumiendo por ahí.</t>
  </si>
  <si>
    <t>http://facebook.com/profile.php?id=100006317147425</t>
  </si>
  <si>
    <t>Carlos Martín</t>
  </si>
  <si>
    <t>Azanatos</t>
  </si>
  <si>
    <t>Esta visto que si no manda a negociar a su emisario @Pablo_Iglesias_ se le complica el asunto. RT @sanchezcastejon: Tras mi conversación con Theresa May, nuestras posiciones permanecen lejanas. Mi Gobierno siempre defenderá los intereses de España. Si no hay cambios, vetaremos el Brexit.</t>
  </si>
  <si>
    <t>Tribuna | ¿Para qué sirve hoy la monarquía?; por Pablo Iglesias  vía @el_pais</t>
  </si>
  <si>
    <t>https://twitter.com/sanchezcastejon/status/1065718710466428928</t>
  </si>
  <si>
    <t>Lo fácil en este país es ser del Madrid, pero a mi me gusta el Fútbol.</t>
  </si>
  <si>
    <t>El pensamiento es una herramienta. Otra, la acción. El hambre, lo más terrible. No podemos estar quietos. Hay de dejar una sociedad mejor que la que conozco.</t>
  </si>
  <si>
    <t>cuartopoder.es</t>
  </si>
  <si>
    <t>.@Pablo_Iglesias_ prioriza que @ManuelaCarmena sea alcaldesa a que Julio Rodríguez sea el segundo en la lista  lo cuenta @JDSato</t>
  </si>
  <si>
    <t>http://bit.ly/2BqMgZ8</t>
  </si>
  <si>
    <t>Periodismo para el 99%. Contacto: redaccion[@]cuartopoder[.]es</t>
  </si>
  <si>
    <t>http://www.cuartopoder.es</t>
  </si>
  <si>
    <t>Jorge Alemán</t>
  </si>
  <si>
    <t>CONVERSACIÓN CON PABLO IGLESIAS</t>
  </si>
  <si>
    <t>SER Comunicación</t>
  </si>
  <si>
    <t>📻El secretario general de @ahorapodemos @Pablo_Iglesias_ ha sido entrevistado esta mañana por @PepaBueno en @HoyPorHoy de @La_SER Escucha la entrevista aquí 👇</t>
  </si>
  <si>
    <t>http://cadenaser.com/programa/2018/11/22/hoy_por_hoy/1542900365_285470.html</t>
  </si>
  <si>
    <t>Psicoanalista y escritor</t>
  </si>
  <si>
    <t>Twitter del equipo de Comunicación. Queremos compartir contigo el trabajo de los que formamos parte del primer Grupo de Radio en España.</t>
  </si>
  <si>
    <t>"En esta época, después de 15M, después del movimiento feminista del 8 de marzo, hay una nueva España que se abre paso y que dice 'gracias' a la monarquía por los servicios prestados, pero el futuro va a ser de otra manera". 📻@Pablo_Iglesias_ en @HoyPorHoy</t>
  </si>
  <si>
    <t>Tormenta78 Periodismo Digital</t>
  </si>
  <si>
    <t>Pablo Iglesias le recuerda a Manuela Carmena que no seria Alcaldesa sin Podemos</t>
  </si>
  <si>
    <t>http://www.youtube.com/watch?v=uUbse32nkfA
http://tormenta78.com/2018/11/pablo-iglesias-le-recuerda-a-manuela-carmena-que-no-seria-alcaldesa-sin-podemos/</t>
  </si>
  <si>
    <t>JesúsGallego</t>
  </si>
  <si>
    <t>LECTURA Muy interesante y bien construido punto de vista: ¿Para qué sirve hoy la monarquía?. Por @Pablo_Iglesias_</t>
  </si>
  <si>
    <t>Videos de youtube a favor de la unidad de España y la paz en Cataluña</t>
  </si>
  <si>
    <t>http://tormenta78.com</t>
  </si>
  <si>
    <t>Periodismo, fútbol, música, radio, televisión, libros, familia, amigos y campo</t>
  </si>
  <si>
    <t>PEPE ROMERO</t>
  </si>
  <si>
    <t>Hola @pnique Hola @Pablo_Iglesias_ 👇👇👇👇👇👇👇 RT @el_pais: "España es declarado mejor país del mundo para nacer, más sociable para vivir y más seguro para viajar solos. Nuestro nivel democrático está por encima de Bélgica, Francia e Italia. Pese al masoquismo antropológico", pasa todo esto que cuenta Manuel Vicent</t>
  </si>
  <si>
    <t>https://twitter.com/el_pais/status/1065575657730654208
http://ow.ly/j66m30mIjT2</t>
  </si>
  <si>
    <t>Malaga España</t>
  </si>
  <si>
    <t>Madrid 24 horas</t>
  </si>
  <si>
    <t>Todo el mundo se aparta ante un hombre que sabe dónde va. Voto #PP #NoALaMerma , Cristiano y convencido que solo con trabajo e ilusión se alcanzan las metas.</t>
  </si>
  <si>
    <t>Pablo Iglesias ve bueno que Manuela Carmena tenga un “espacio propio”  El secretario general de Podemos, Pablo Iglesias, ha hablado sobre la plataforma Más Madrid, con la que la alcaldesa, Manuela Carmena, pretende ser reelegida. La plataforma nace con p…</t>
  </si>
  <si>
    <t>https://ift.tt/2KuexRp</t>
  </si>
  <si>
    <t>Perceval Tébar</t>
  </si>
  <si>
    <t>La sensación que da cuando @Pablo_Iglesias_ acude a las tertulias de la @La_SER con @PepaBueno y @kanciller es la de esas víctimas del bullying con quienes a la cara todos son muy amables pero en cuanto sale de la habitación son despellejados verbalmente.</t>
  </si>
  <si>
    <t>Notícias de Madrid, el glorioso Atlético de Madrid y el Real Madrid</t>
  </si>
  <si>
    <t>http://www.madriddigital24horas.com</t>
  </si>
  <si>
    <t>Europa</t>
  </si>
  <si>
    <t>Como el tinto Don Simón, rojo, áspero y peleón.</t>
  </si>
  <si>
    <t>Julito</t>
  </si>
  <si>
    <t>Otra Vuelta de Tuerka - Pablo Iglesias con Marta Flich  vía @YouTube</t>
  </si>
  <si>
    <t>https://youtu.be/VSEjksH8NfU</t>
  </si>
  <si>
    <t>"Hay que estar preparados para todas las posibilidades, incluidas las elecciones. Pero nosotros vamos a seguir apostando, como primera opción, por lograr sacar adelante el acuerdo de presupuestos". 📻 @Pablo_Iglesias_ en @HoyPorHoy RT @ahorapodemos: "Hay que estar preparados para todas las posibilidades, incluidas las elecciones. Pero nosotros vamos a seguir apostando, como primera opción, por lograr sacar adelante el acuerdo de presupuestos". 📻 @Pablo_Iglesias_ en @HoyPorHoy</t>
  </si>
  <si>
    <t>Elche - España</t>
  </si>
  <si>
    <t>Seriéfilo, reality adicto, arabista frustrado y muchas cosas más #BoicotIsrael #FreePalestine #NoMasZoos #SiSePuede #TransgenicosNo #YoSoy132 #SurvivorFan</t>
  </si>
  <si>
    <t>https://twitter.com/ahorapodemos/status/1065889583076913152</t>
  </si>
  <si>
    <t>https://pbs.twimg.com/media/DsrKLLUWkAA11a3.jpg</t>
  </si>
  <si>
    <t>Javier Bañuelos</t>
  </si>
  <si>
    <t>Perlas y dardos de @Pablo_Iglesias_ a Carmena en @HoyPorHoy ☢️ "Se ha sentido muy incómoda como figura independiente" ☢️ "Es bueno que tenga gente que vaya a cumplir sus órdenes" ☢️ "Si falta alguna de las piezas será difícil revalidar la victoria.Todos tendremos que ceder"</t>
  </si>
  <si>
    <t>Vivo en la SER. Trabajo en Madrid</t>
  </si>
  <si>
    <t>CoRReCaMiNoS</t>
  </si>
  <si>
    <t>#SebastiaoEnLaCafetera @radiocable @iescolar @pardodevera @jesusmarana @carnecrudaradio @JesusCintora @Pablo_Iglesias_ @agarzon @JoaquimBoschGra Imagen de @SSalgadoGenesis . sobran las palabras...</t>
  </si>
  <si>
    <t>Arcaravan7</t>
  </si>
  <si>
    <t>https://pbs.twimg.com/media/DsrNS9FWoAAyg1Q.jpg</t>
  </si>
  <si>
    <t>Alicante, Comunidad Valenciana</t>
  </si>
  <si>
    <t>Economista/Analista financiero</t>
  </si>
  <si>
    <t>Vejer de la Frontera, España</t>
  </si>
  <si>
    <t>El miedo va a cambiar de bando. Madridista con el corazón a la izquierda ❤️💛💙</t>
  </si>
  <si>
    <t>"Hay que estar preparados para todas las posibilidades, incluidas las elecciones. Pero nosotros vamos a seguir apostando, como primera opción, por lograr sacar adelante el acuerdo de presupuestos". 📻 @Pablo_Iglesias_ en @HoyPorHoy</t>
  </si>
  <si>
    <t>Dolors63 ||*|| #LaCrida🎗️🎗️🎗️🎗️🎗️🎗️🎗️🎗️🎗️</t>
  </si>
  <si>
    <t>gortiz</t>
  </si>
  <si>
    <t>"El fascista que llevo dentro".... @sanchezcastejon @JosepBorrellF @abalosmeco @carmencalvo_ @Pablo_Iglesias_ @agarzon RT @poloniatv3: Després de l'èxit del documental #EnFemme, arriba #EnFatx: el feixista que porto dins. #PolòniaTV3</t>
  </si>
  <si>
    <t>Un detalle @pablo_iglesias ¡La candidatura de @ManuelaCarmena no representará a @ahorapodemos! ¡No te la apropies!</t>
  </si>
  <si>
    <t>https://twitter.com/poloniatv3/status/1065718106998353920</t>
  </si>
  <si>
    <t>pic.twitter.com/MATz0TZm6b</t>
  </si>
  <si>
    <t>Catalunya</t>
  </si>
  <si>
    <t>Todos nacemos con un color de piel, ciertos rasgos físicos y hablamos una lengua¡¡Nada de ello elegido libremente!!</t>
  </si>
  <si>
    <t>Independència per Catalunya, justícia social, història, drets civils....</t>
  </si>
  <si>
    <t>Antonio Esquivias</t>
  </si>
  <si>
    <t>Recomiendo a todos, pero muy especialmente a @Pablo_Iglesias_ ,la lectura de la columna de Luis Ventoso. Hoy en ABC.</t>
  </si>
  <si>
    <t>Rafa Morata</t>
  </si>
  <si>
    <t>Indescriptible la sensación que produce contemplar por la noche, en silencio y en soledad, el busto iluminado de Pablo Iglesias Posse en el jardín de entrada a la Escuela Julián Besteiro #Socialismo #OrgulloUgetista #130AniversarioUGT</t>
  </si>
  <si>
    <t>https://pbs.twimg.com/media/DsrLlpWXoAA28zm.jpg</t>
  </si>
  <si>
    <t>https://pbs.twimg.com/media/Dsr6rvdXoAEiZNl.jpg</t>
  </si>
  <si>
    <t>Publicitario, diseñador gráfico y fotógrafo.</t>
  </si>
  <si>
    <t>Ceuta</t>
  </si>
  <si>
    <t>Maestro de Primaria en la pública (la mejor, la de todos). Ugetista. Socialista. Cinefilia, viñetas y vida. Web personal consagrada a Rainer Werner Fassbinder</t>
  </si>
  <si>
    <t>https://www.rafamorata.es</t>
  </si>
  <si>
    <t>emma</t>
  </si>
  <si>
    <t>Esta mañana en @HoyPorHoy @Pablo_Iglesias_ justificando el cuestionamiento de la monarquía a partir de la movilización femenista. Me parece muy mal el uso partidista del feminismo!</t>
  </si>
  <si>
    <t>Socióloga (interesada en pobreza, desigualdad, educación) y feminista. Doctora miembro del Instituto Carlos III-Juan March y Editora de @a_publica</t>
  </si>
  <si>
    <t>Úrsula 0'Kuinghttons</t>
  </si>
  <si>
    <t>Lo mismo me pregunto, @Pablo_Iglesias_: ¿Para qué sirve hoy la monarquía? Decimonónica me parece la Casa Real, una institución con gran presencia en la prensa rosa, pero con escasa repercusión en el análisis político, social, ni menos cultural.</t>
  </si>
  <si>
    <t>Regional Lead at @join_civil. Building newsrooms in Europe &amp; LATAM through #Blockchain. Journalism Matters!</t>
  </si>
  <si>
    <t>https://civil.co</t>
  </si>
  <si>
    <t>Jesús Uría</t>
  </si>
  <si>
    <t>Mi respuesta al artículo de Pablo Iglesias en El País contra la monarquía, a la que ataca por perversos motivos que él mismo deja en evidencia.</t>
  </si>
  <si>
    <t>"Está muy bien que los monárquicos defiendan su opción, pero en 2018 se puede empezar a discutir si a la jefatura del Estado se accede por fecundación o por elección". 📻@Pablo_Iglesias_ en @HoyPorHoy RT @ahorapodemos: "Está muy bien que los monárquicos defiendan su opción, pero en 2018 se puede empezar a discutir si a la jefatura del Estado se accede por fecundación o por elección". 📻@Pablo_Iglesias_ en @HoyPorHoy</t>
  </si>
  <si>
    <t>https://www.facebook.com/permalink.php?story_fbid=706956799683482&amp;id=100011075051553</t>
  </si>
  <si>
    <t>Bilbao España</t>
  </si>
  <si>
    <t>https://www.facebook.com/profile.php?id=100011075051553</t>
  </si>
  <si>
    <t>https://www.facebook.com/groups/1523383624657240/?fref=nf</t>
  </si>
  <si>
    <t>"A quien está atacando la Comisión Europea es a la gente trabajadora de este país. ¿Por qué no es real subir el SMI a 900 euros cuando en los países de nuestro entorno el salario mínimo es mucho más alto?" 📻 @Pablo_Iglesias_ en @HoyPorHoy RT @ahorapodemos: "A quien está atacando la Comisión Europea es a la gente trabajadora de este país. ¿Por qué no es real subir el SMI a 900 euros cuando en los países de nuestro entorno el salario mínimo es mucho más alto?" 📻 @Pablo_Iglesias_ en @HoyPorHoy</t>
  </si>
  <si>
    <t>https://twitter.com/ahorapodemos/status/1065884853885906945</t>
  </si>
  <si>
    <t>https://pbs.twimg.com/media/DsrIrC9X4AA7E6H.jpg</t>
  </si>
  <si>
    <t>joan lluis llull</t>
  </si>
  <si>
    <t>Al finalizar la entrevista con @Pablo_Iglesias_ los comentaristas habituales de @HoyPorHoy le despellejan por dirigir un partido confederal y no decir lo que tienen que hacer en Madrid o en Andalucía. Si lo dijera dirían que es centralista.</t>
  </si>
  <si>
    <t>Podemos_DV</t>
  </si>
  <si>
    <t>Palma</t>
  </si>
  <si>
    <t>Les meves piulades les puc defensar, les dels altres. no tant, encara que les publiqui.</t>
  </si>
  <si>
    <t>http://www.facebook.com/joanlluis</t>
  </si>
  <si>
    <t>Madrid Capital</t>
  </si>
  <si>
    <t>Círculo de Podemos Dehesa de la Villa de Madrid, en el Distrito de Moncloa. https://m.facebook.com/podemosdv/</t>
  </si>
  <si>
    <t>Joelsinrodeos</t>
  </si>
  <si>
    <t>Supongo que son las instrucciones de @sanchezcastejon y @Pablo_Iglesias_ RT @manuperez2002: COMUNISMO...</t>
  </si>
  <si>
    <t>https://twitter.com/manuperez2002/status/1065638895168221190</t>
  </si>
  <si>
    <t>https://pbs.twimg.com/media/Dsno7GxW0AAp7G7.jpg</t>
  </si>
  <si>
    <t>Sin rodeos.</t>
  </si>
  <si>
    <t>"Está muy bien que los monárquicos defiendan su opción, pero en 2018 se puede empezar a discutir si a la jefatura del Estado se accede por fecundación o por elección". 📻@Pablo_Iglesias_ en @HoyPorHoy</t>
  </si>
  <si>
    <t>Y los Beatles...</t>
  </si>
  <si>
    <t>Hola @Pablo_Iglesias_ Esto cuenta como votar a favor de la Monarquía, ¿no? #FelizFinde</t>
  </si>
  <si>
    <t>https://elpais.com/politica/2018/11/16/actualidad/1542383208_644485.html</t>
  </si>
  <si>
    <t>A la ribereña del Mediterráneo</t>
  </si>
  <si>
    <t>He vist l'opressió del meu poble assegut a la barra d'un bar.</t>
  </si>
  <si>
    <t>Juan Carlos Espinosa</t>
  </si>
  <si>
    <t>Después de escuchar a @Pablo_Iglesias_ en la SER me queda claro que el conflicto con @ManuelaCarmena ha terminado y Podemos ha cedido.</t>
  </si>
  <si>
    <t>Radio Sporting®</t>
  </si>
  <si>
    <t>📊DATOS Y ESTADÍSTICAS | #GranadaSporting 📻PODCAST | @Ahora_Sporting 512 🎙️EN DIRECTO | #GranadaSporting desde las 20:45h en cafetería Alameda, avda Pablo Iglesias 89, Gijón, con @CoqueGarciaJT y el equipo de @Ahora_Sporting</t>
  </si>
  <si>
    <t>Madrid, Spain</t>
  </si>
  <si>
    <t>Periodista mexicano. Actualmente en la Escuela de Periodismo UAM-El País. Antes en @EnfoqueNoticias</t>
  </si>
  <si>
    <t>http://www.enfoquenoticias.com.mx</t>
  </si>
  <si>
    <t>https://radiosporting.es/datos-y-estadisticas/</t>
  </si>
  <si>
    <t>"A quien está atacando la Comisión Europea es a la gente trabajadora de este país. ¿Por qué no es real subir el SMI a 900 euros cuando en los países de nuestro entorno el salario mínimo es mucho más alto?" 📻 @Pablo_Iglesias_ en @HoyPorHoy</t>
  </si>
  <si>
    <t>contacto@radiosporting.es</t>
  </si>
  <si>
    <t>Emisora 📻🔴⚪️ 📱Android https://goo.gl/mFwjd8pVtBy 💻Facebook http://goo.gl/TLy5NE5mXb / 📻 Lunes y Jueves de 21 a 23 @Ahora_Sporting 📸IG: https://goo.gl/BMgp8Y</t>
  </si>
  <si>
    <t>http://www.radiosporting.es</t>
  </si>
  <si>
    <t>Veronica Ventureira</t>
  </si>
  <si>
    <t>El País brinda una tribuna a Pablo Iglesias p/atacar a la monarquía a cambio de una República Bolivariana en España. El "impulso constituyente" del mov indignados a q se refiere Iglesias es el de los constitucionalistas de Chávez y Maduro: la guillotina.</t>
  </si>
  <si>
    <t>https://www.libertaddigital.com/espana/2018-11-22/iglesias-utiliza-el-pais-para-atacar-a-la-monarquia-una-nueva-republica-sera-la-mejor-garantia-para-una-espana-unida-1276628644/amp.html?__twitter_impression=true</t>
  </si>
  <si>
    <t>Anton</t>
  </si>
  <si>
    <t>Miserable, supongo que @Pablo_Iglesias_ suspenderá la gira 🦍 RT @gabrielrufian: @EnricJuliana Ok Enric. A ver si tienes un rato también para disculparte por difundir bulos y poner en la diana a mi compañero.</t>
  </si>
  <si>
    <t>https://twitter.com/gabrielrufian/status/1065574801438322688</t>
  </si>
  <si>
    <t>https://pbs.twimg.com/media/DsmuoVXXgAESFkX.jpg</t>
  </si>
  <si>
    <t>Buenos Aires, Argentina</t>
  </si>
  <si>
    <t>CCPP-USAL. Libertad Constituyente para una República Constitucional.</t>
  </si>
  <si>
    <t>Altea</t>
  </si>
  <si>
    <t>Me interesa la economía ecológica, la segunda ley de la termodinámica, la tercera ley de Newton y el gran colisionador de hadrones</t>
  </si>
  <si>
    <t>http://page.is/anton</t>
  </si>
  <si>
    <t>Jorge Soler 🇪🇸</t>
  </si>
  <si>
    <t>Pablo Iglesias se pliega ante Carmena: «Seguiremos trabajando para que vuelva a ser alcaldesa»</t>
  </si>
  <si>
    <t>http://ver.abc.es/sjtoz1</t>
  </si>
  <si>
    <t>.@Pablo_Iglesias_ en @HoyPorHoy "Que @Julio_Rodr_ sea el número 2, 3 ó 4 de Carmena es lo de menos. Lo importante es volver a ganar. Si nosotros no hubiésemos propuesto a Carmena, no habría sido alcaldesa"</t>
  </si>
  <si>
    <t>J.Carlos Lorenzana</t>
  </si>
  <si>
    <t>Dice @Pablo_Iglesias_ que "España tragó con el heredero de Franco a cambio de democracia" Llama democracia a no dejarse matar, porque se tragó al Borbón, el heredero de Franco, amenazados por el "ruido de sables" del ejército</t>
  </si>
  <si>
    <t>Minero, siempre Minero. Libros, música, ajedrez, cine clásico y demás hobbys prohibidos. Y sí, tenía razón ella, mi profesora, soy el mismísimo diablo</t>
  </si>
  <si>
    <t>Texto @MsolHernandez Saltarse la regla del gasto EVIDENCIA que ni @sanchezcastejon ni @Pablo_Iglesias_ ni NINGUNA autodenominada izquierda tiene VOLUNTAD de implementar planes de mejora de la EFICIENCIA en las Administraciones Públicas. Malo para el Estado de Bienestar.</t>
  </si>
  <si>
    <t>https://pbs.twimg.com/media/DsrGPyMW0AAXh0I.jpg</t>
  </si>
  <si>
    <t>Ana Domínguez</t>
  </si>
  <si>
    <t>"Estoy convencido de que Carmena seguirá siendo alcaldesa de Madrid tras las elecciones de 2019. Trabajaremos para que haya una candidatura de unidad ganadora que englobe al partido de Carmena, a IU, a Equo, a Podemos y a figuras independientes". @Pablo_Iglesias_ en @HoyPorHoy</t>
  </si>
  <si>
    <t>Editora (puente entre la sociedad y la belleza, el conocimiento o las emociones), feminista y consejera estatal de @ahorapodemos http://argumenta.instituto25m.info</t>
  </si>
  <si>
    <t>https://www.facebook.com/AnaDominguezRama/</t>
  </si>
  <si>
    <t>Hoy por hoy</t>
  </si>
  <si>
    <t>DIRECTO @Pablo_Iglesias_ : "Nos curramos más la moción de censura nosotros que el @PSOE. Con los presupuestos también nos esforzamos más. El gobierno podría hacer algo más de lo que está haciendo"</t>
  </si>
  <si>
    <t>http://cadenaser.com/programa/2018/11/22/hoy_por_hoy/1542900365_285470.html?ssm=tw-hxh</t>
  </si>
  <si>
    <t>JSCH</t>
  </si>
  <si>
    <t>Mariló Montero denuncia a Pablo Iglesias ante el Instituto de la Mujer por decir que "la azotaría hasta que sangrase"  vía @elmundoes</t>
  </si>
  <si>
    <t>Cadena SER</t>
  </si>
  <si>
    <t>El programa líder de la radio española. De lunes a viernes, de 6:00 a 12:20h, en @La_SER. Dirigido por @PepaBueno y Toni @GarridoCoronado.</t>
  </si>
  <si>
    <t>http://www.hoyporhoy.es</t>
  </si>
  <si>
    <t>https://www.elmundo.es/television/2016/07/27/579894fae5fdea276e8b4575.html</t>
  </si>
  <si>
    <t>DIRECTO @Pablo_Iglesias_ asegura que haya elecciones generales en el primer trimestre de 2019 "es una opción"</t>
  </si>
  <si>
    <t>Tasmania, Australia</t>
  </si>
  <si>
    <t>ABC.es</t>
  </si>
  <si>
    <t>Manuel Cora</t>
  </si>
  <si>
    <t>Preguntad a @Pablo_Iglesias_ q le parece el descontento q tenemos los vecinos de Vallecas por la ineficacia de @AhoraMadrid en la resolución de #Valdemingómez @sfp_1975 @NoValdemingomez RT @HoyPorHoy: Pablo Iglesias, en @HoyPorHoy: "Me parece muy bien que Carmena tenga su propio partido, el que tenga su propio espacio político es bueno para que todos podamos llegar a un acuerdo para hacer una candidatura ganadora" EN DIRECTO →</t>
  </si>
  <si>
    <t>Diario ABC. También en https://www.abc.es https://www.facebook.com/ABCes/ https://www.instagram.com/abc_diario/ https://www.linkedin.com/company/diario-abc/</t>
  </si>
  <si>
    <t>http://www.abc.es</t>
  </si>
  <si>
    <t>https://twitter.com/HoyPorHoy/status/1065879767805640705
http://cadenaser.com/programa/2018/11/22/hoy_por_hoy/1542900365_285470.html</t>
  </si>
  <si>
    <t>https://pbs.twimg.com/media/DsrD_n2U0AAxSAW.jpg</t>
  </si>
  <si>
    <t>Me gusta el cine y los cineros. Mezclo pelis y lo paso bien. DCP expert.</t>
  </si>
  <si>
    <t>Alejandro Prados</t>
  </si>
  <si>
    <t>¡¡ESPABILAD!! @sanchezcastejon @pablocasado_ @Pablo_Iglesias_ @Albert_Rivera RT @4ever_frog: ¿Qué líder político ha celebrado el Bicentenario del @museodelprado en su twitter? Una pista: no es el que felicitó por su premio a "La casa de papel" No miréis, que con trampas pierde toda gracia.</t>
  </si>
  <si>
    <t>https://twitter.com/4ever_frog/status/1065169184047419392</t>
  </si>
  <si>
    <t>http://facebook.com/alejandro.ramirezdesilva</t>
  </si>
  <si>
    <t>@HOPE44313551</t>
  </si>
  <si>
    <t>😎😎😎 hay que ignorar a @ahorapodemos Que desde hace cuatro años difunde, atiza odio , es su única meta. @Pablo_Iglesias_ La guerra, Franco. Menos mal que tenemos al rey para representar a España. Le invito a instalarse en Fancia, la república aquí no le permitiria la mitad RT @tony73_: A qué república se refiere Pablo Iglesias? Porque, claro, no sabemos si es a Alemania, Francia, Estados Unidos o más bien a Cuba, Venezuela Corea del Norte o la República Popular China. La diferencia entre ambos grupos es el respeto a la libertad, propiedad privada y a la Vida.</t>
  </si>
  <si>
    <t>L'Amour et la compassion sont des nécessités, pas un luxe. Sans eux l'humanité ne peut pas survivre. Dalai Lama.</t>
  </si>
  <si>
    <t>Sigue en DIRECTO la entrevista a @Pablo_Iglesias_ en este enlace</t>
  </si>
  <si>
    <t>🔴 DIRECTO | Pepa Bueno entrevista a Pablo Iglesias (@Pablo_Iglesias_)</t>
  </si>
  <si>
    <t>https://pbs.twimg.com/media/DsrCz1wXQAApUF4.jpg</t>
  </si>
  <si>
    <t>Cuenta con la SER. Pase lo que pase.</t>
  </si>
  <si>
    <t>http://cadenaser.com/</t>
  </si>
  <si>
    <t>Monika Diethelm</t>
  </si>
  <si>
    <t>Pablo Iglesias assegura que no donarà suport a Pedro Sánchez...  via @elnacionalcat</t>
  </si>
  <si>
    <t>https://www.elnacional.cat/ca/en-directe/actualitat-23112018_3636_126.html?idComment=984501</t>
  </si>
  <si>
    <t>Guille Carbonell</t>
  </si>
  <si>
    <t>Nos creemos libres, pero la realidad es que nuestra jefatura de estado se nos impuso a cambio de democracia. Actualmente no tiene sentido una monarquía que separa y agrava a su población. Reflexión interesante de @Pablo_Iglesias_</t>
  </si>
  <si>
    <t>Barcelona/Madrid</t>
  </si>
  <si>
    <t>Periodista deportivo en @beinsports He colaborado con @FCBtv y @Lavinia Antes en @MotoGP</t>
  </si>
  <si>
    <t>http://gcarb94.wixsite.com/guillermocarbonell</t>
  </si>
  <si>
    <t>Berta García Bilbao</t>
  </si>
  <si>
    <t>Iglesias advierte de que la clave para que Carmena gane es "sumar a todas las piezas y no dejar ninguna fuera"</t>
  </si>
  <si>
    <t>https://ift.tt/2DFhNIf</t>
  </si>
  <si>
    <t>Un vaso medio vacío de vino es también uno medio lleno, pero una mentira a medias, de ningún modo es una media verdad</t>
  </si>
  <si>
    <t>Jenniffer Alfonzo</t>
  </si>
  <si>
    <t>Creo que @Pablo_Iglesias_ se está planteando montar un sindicato cuando @ahorapodemos se las dé en los morenos en elecciones 🤔 RT @Pablo_Iglesias_: Es indecente que Alcoa, una empresa que se ha beneficiado de cuantiosas ayudas públicas, deje en la calle a casi 700 trabajadores y trabajadoras en Galicia y Asturias sin que el Gobierno intervenga para evitarlo con todas las herramientas que tiene a su alcance.</t>
  </si>
  <si>
    <t>https://twitter.com/pablo_iglesias_/status/1065652376126803969</t>
  </si>
  <si>
    <t>https://pbs.twimg.com/media/Dsn1IhTXQAAbinP.jpg</t>
  </si>
  <si>
    <t>José Antonio Cubero</t>
  </si>
  <si>
    <t>Nacida en Venezuela. Española y catalana de adopción y de corazón. No creo en ideologías.</t>
  </si>
  <si>
    <t>http://www.themarketingplanet.com</t>
  </si>
  <si>
    <t>https://okdiario-com.cdn.ampproject.org/v/s/okdiario.com/espana/2018/11/23/iglesias-califica-patriotismo-extrano-defender-soberania-gibraltar-3382790/amp?amp_js_v=a2&amp;amp_gsa=1&amp;usqp=mq331AQHCABYAYABAQ%3D%3D#referrer=https%3A%2F%2Fwww.google.com&amp;amp_tf=De%20%251%24s&amp;ampshare=https%3A%2F%2Fokdiario.com%2Fespana%2F2018%2F11%2F23%2Figlesias-califica-patriotismo-extrano-defender-soberania-gibraltar-3382790</t>
  </si>
  <si>
    <t>Rodrigo Pérez de Guzmán</t>
  </si>
  <si>
    <t>👉🏻 Colosal baño de @jitorreblanca a @Pablo_Iglesias_ desmontando su artículo antimonárquico en El País 👈🏻 |  vía @Periodistadigit</t>
  </si>
  <si>
    <t>Artesano de la Libertad en Tabarnia, España</t>
  </si>
  <si>
    <t>https://www.periodistadigital.com/periodismo/internet/2018/11/23/colosal-bano-nacho-torreblanca-iglesias-desmontando-articulo-antimonarquico-elpais.shtml</t>
  </si>
  <si>
    <t>Madrid o Cádiz, depende. 🇪🇸</t>
  </si>
  <si>
    <t>Aitona Cabreado</t>
  </si>
  <si>
    <t>Con 4 líneas no tengo ni para empezar.</t>
  </si>
  <si>
    <t>Iglesias advierte de que la clave para que Carmena gane es "sumar a todas las piezas y no dejar ninguna fuera"  vía @eldiarioes</t>
  </si>
  <si>
    <t>https://instagram.com/arte_arquitectura_museos?utm_source=ig_profile_share&amp;igshid=1cg4p6qkbuct7</t>
  </si>
  <si>
    <t>https://www.eldiario.es/_32001507</t>
  </si>
  <si>
    <t>📻 En unos minutos estará @Pablo_Iglesias_ en @HoyPorHoy. Puedes seguirlo en directo desde aquí.</t>
  </si>
  <si>
    <t>http://play.cadenaser.com</t>
  </si>
  <si>
    <t>Donostia</t>
  </si>
  <si>
    <t>De izquierdas republicano siempre en lucha contra mis contradiccones</t>
  </si>
  <si>
    <t>https://pbs.twimg.com/media/Dsq9eP7WoAIdhKT.jpg</t>
  </si>
  <si>
    <t>Vicente P. Guardiola</t>
  </si>
  <si>
    <t>Pese a ser monarquía, señor @Pablo_Iglesias_ ¿podrá decir lo mismo Venezuela, Cuba o, en su día, la URSS? RT @el_pais: "España es declarado mejor país del mundo para nacer, más sociable para vivir y más seguro para viajar solos. Nuestro nivel democrático está por encima de Bélgica, Francia e Italia. Pese al masoquismo antropológico", pasa todo esto que cuenta Manuel Vicent</t>
  </si>
  <si>
    <t>Cartagena (España)</t>
  </si>
  <si>
    <t>Hice LADE @fce_upct. Liberal y cartagenero que ama su ciudad. Tecnología, deportes, marketing y economía. (Nosolo)Efesé. @clanwaza @aescohotado y @fgustavobueno</t>
  </si>
  <si>
    <t>https://www.flickr.com/photos/vpg_ct/</t>
  </si>
  <si>
    <t>¿Para qué sirve hoy también el Partido Comunista? ¿Y una república dictatorial como la que amáis y recordñais como la URSS, Cuba, RDA...? @Pablo_Iglesias_ @agarzon RT @JosPastr: Si los españoles quisieran vuestra república bananochavista tú y tu compinche tendríais mayoría absoluta y no estarías rezando a Lenin para superar un 17 %.</t>
  </si>
  <si>
    <t>Carlos Peralta</t>
  </si>
  <si>
    <t>https://twitter.com/JosPastr/status/1065517979377561600</t>
  </si>
  <si>
    <t>https://pbs.twimg.com/media/Dsl601oXgAIT8Kw.jpg</t>
  </si>
  <si>
    <t xml:space="preserve">Asunción, Paraguay </t>
  </si>
  <si>
    <t>Periodista, presentador de noticias en Noticiero Unicanal. Conductor del programa Marcando Pautas en radio 1ero de marzo #780am y El Péndulo en Unicanal</t>
  </si>
  <si>
    <t>Pablo Cantabria</t>
  </si>
  <si>
    <t>. @AimarBretos @PepaBueno @HoyPorHoy preguntadle a @Pablo_Iglesias_ por el Golpe de Estado dado por la dirección estatal de Podemos en Cantabria</t>
  </si>
  <si>
    <t>https://www.eldiario.es/norte/cantabria/politica/Cantabria-Podemos-Alberto_Bolado-Iglesias-Echenique_0_838516359.html</t>
  </si>
  <si>
    <t>La Tierruca</t>
  </si>
  <si>
    <t>Cántabro. Por una España y una Iberia republicana y de izquierdas.💢🇵🇱 💚 Deja vivir.</t>
  </si>
  <si>
    <t>https://cantabrisimo.wordpress.com/</t>
  </si>
  <si>
    <t>Le Jonathan</t>
  </si>
  <si>
    <t>Hola @Albert_Rivera Mira lo que decía @Pablo_Iglesias_ sobre los buses con rotulación pagada por un partido. Ah, no, que eras tú el que decía que hacer esas cosas "no es oposición, es un show". Felicidades por volver a mostrar vuestra hipocresía.</t>
  </si>
  <si>
    <t>https://pbs.twimg.com/media/Dsq6psNXcAAy7JF.jpg</t>
  </si>
  <si>
    <t>Cihuatanejo</t>
  </si>
  <si>
    <t>He venido a mascar chicle y patear culos y me he quedado sin chicle.</t>
  </si>
  <si>
    <t>Nick el Yayo</t>
  </si>
  <si>
    <t>Lectura obligada! El pueblo español se ha ganado la legitimidad de poder decidir sobre la monarquía en nuestro país. @Pablo_Iglesias_</t>
  </si>
  <si>
    <t>Madrid.</t>
  </si>
  <si>
    <t>RT</t>
  </si>
  <si>
    <t>Santiago Lupe</t>
  </si>
  <si>
    <t>¿Se puede rechazar la monarquía bendiciendo a Juan Carlos I, la Transición y ninguneado el movimiento por los #Referendum? @Pablo_Iglesias_ nos enseña cómo...  @iDiarioES #ReferendumUni #Republica #ForaelBorbó</t>
  </si>
  <si>
    <t>https://goo.gl/q7WpKf</t>
  </si>
  <si>
    <t>Militante trotskista e historiador. Escribo en http://www.izquierdadiario.es</t>
  </si>
  <si>
    <t>http://www.izquierdadiario.es</t>
  </si>
  <si>
    <t>Trendinalia España</t>
  </si>
  <si>
    <t>Los 20 tuits más RTs de @gabrielrufian @santi_abascal @joninarritu @krls @albert_rivera @jordi_canyas @beatriztalegon @teresarodr_ @agarzon @sanchezcastejon @jordialapreso @pablo_iglesias_ @junqueras @anapastorjulian @monederojc el jueves 22 de noviembre</t>
  </si>
  <si>
    <t>https://twitter.com/trendinaliaES/timelines/1065849541994340352</t>
  </si>
  <si>
    <t>Las tendencias de Twitter, Google y YouTube en la geografía española — #trndnl</t>
  </si>
  <si>
    <t>http://trendinalia.com/twitter-trending-topics/spain/</t>
  </si>
  <si>
    <t>hu ja</t>
  </si>
  <si>
    <t>#TransiciónEcológica A los Asturianos nos estáis enterrando vivos HDGP. @FSA_PSOE @sanchezcastejon @Pablo_Iglesias_</t>
  </si>
  <si>
    <t>Vicente Sánchez</t>
  </si>
  <si>
    <t>Sería en error por ambas partes (por @Pablo_Iglesias_ más) no entenderse y no ir de la mano a las próximas elecciones. @ManuelaCarmena presenta su plataforma Más Madrid y retoma el diálogo con @ahorapodemos para la candidatura de 2019  @eldiario_Madrid</t>
  </si>
  <si>
    <t>https://m.eldiario.es/_31eabbf7</t>
  </si>
  <si>
    <t>Si te gusta ver documentales y la denuncia social..Web: 'La Guarida de bizzentte'. Para temas sobre el VCF aquí: @laguaridaVCF</t>
  </si>
  <si>
    <t>http://bizzentte.com/</t>
  </si>
  <si>
    <t>MAR195</t>
  </si>
  <si>
    <t>Comenta @Pablo_Iglesias_ en EL @el_pais que , "Si el 23-F reforzó a Juan Carlos, el 3 de octubre debilitó a Felipe VI" 🤔</t>
  </si>
  <si>
    <t>EN UN LUGAR MARAVILLOSO</t>
  </si>
  <si>
    <t>ME DECLARO EN REBELDÍA ANTE LAS INJUSTICIAS, LAMENTABLEMENTE HOY HAY MUCHAS ....</t>
  </si>
  <si>
    <t>Dice Pablo @Pablo_Iglesias_ sobre el sí o el no a la monarquía : "Ahora la opinión quizá no sea muy favorable. Y el CIS no pregunta por ello"🤔</t>
  </si>
  <si>
    <t>bitMomentum</t>
  </si>
  <si>
    <t>Más comentados ahora en Derecha/Centro Dcha.: ➀ @sanchezcastejon ↑↑ ➁ @Alvisepf ↓ ➂ @gabrielrufian ↓ ➃ @jitorreblanca ↓ ➄ @Desayunos_tve ↓ ➅ @ldpsincomplejos ↓ ➆ @Pablo_Iglesias_ ↓ ➇ @PSOE ↓ ➈ @agarzon ↓</t>
  </si>
  <si>
    <t>Asociación ForoLC</t>
  </si>
  <si>
    <t>"Pablo Iglesias es un nostálgico de la Segunda República, un régimen que vulneró sistemáticamente libertades que hoy sí que se respetan en España. Hay que recordar, además, que esa República desapareció por...</t>
  </si>
  <si>
    <t>http://www.outono.net/elentir/2018/11/22/para-que-sirve-hoy-podemos/</t>
  </si>
  <si>
    <t>Observatorio en tiempo real de política española en Twitter.</t>
  </si>
  <si>
    <t>http://www.bitmomentum.com</t>
  </si>
  <si>
    <t>Asociación no gubernamental. ForoLC apuesta por la reflexión como medio para combatir la corrupción y la involución.</t>
  </si>
  <si>
    <t>https://www.facebook.com/elforolc/</t>
  </si>
  <si>
    <t>EL PAÍS</t>
  </si>
  <si>
    <t>Tribuna | "¿Para qué sirve hoy la monarquía?"  Por @Pablo_Iglesias_</t>
  </si>
  <si>
    <t>http://ow.ly/6zYr30mII2A</t>
  </si>
  <si>
    <t>Las noticias más relevantes y la última hora, por los periodistas de EL PAÍS. Para informarse y conversar. Únete al sistema de alertas mediante mensaje directo</t>
  </si>
  <si>
    <t>http://www.elpais.com</t>
  </si>
  <si>
    <t>Dr. Estranyamor</t>
  </si>
  <si>
    <t>Vomitivo artículo de @Pablo_Iglesias_, solo recomendable para apesebrados de Podemos, filoetarras y golpistas lazis. Perfecto para la versión mermada del grandma de @pnique... Tribuna | ¿Para qué sirve hoy la monarquía?; por Pablo Iglesias  via @el_pais</t>
  </si>
  <si>
    <t>"En algunos aspectos, lo progresista es el nuevo sentido común". @EnricJuliana ha hablado con @ElSiglo_eu de #NudoEspaña, el libro que hemos publicado juntos:</t>
  </si>
  <si>
    <t>http://www.elsiglodeuropa.es/siglo/historico/2018/1270/Index%20La%20Calle%20Juliana.html</t>
  </si>
  <si>
    <t>War Room, L'Esquirol (Osona)</t>
  </si>
  <si>
    <t>https://pbs.twimg.com/media/DsrvCSXX4AErkMi.jpg</t>
  </si>
  <si>
    <t>Former German and US agencies adviser. Now helping the provisional new republic of Catalunya to develop its nuke program only for pacific and smiling purposes.</t>
  </si>
  <si>
    <t>Álvaro Guzmán Gutiérrez</t>
  </si>
  <si>
    <t>Qué bueno este artículo de @Pablo_Iglesias_ , y qué bien escrito. Personalmente, y después de darle muchas vueltas, no soy republicano, pero estos argumentos me hacen dudar; sólo por eso ya es un éxito. En serio, hay que leerlo, sin prejuicios.</t>
  </si>
  <si>
    <t>O'Novo Gots 💦🌵</t>
  </si>
  <si>
    <t>Pablo Iglesias, definidor, clasificador y valorador de patriotismos. Propios y ajenos. Él puede. RT @sextaNoticias: .@Pablo_Iglesias_ no apoyará a Pedro @sanchezcastejon para "patrioterismos extraños" con Gibraltar</t>
  </si>
  <si>
    <t>https://twitter.com/sextanoticias/status/1065928217620557825
http://atres.red/rz35j6</t>
  </si>
  <si>
    <t>Sevilla, Andalucía</t>
  </si>
  <si>
    <t>Jaén, 1995. Maristeño. Periodismo en Sevilla. Informo y escribo de la actualidad en mi blog El Garabato🗞⌨️ Instagram el.garabato</t>
  </si>
  <si>
    <t>http://actualidad205.wordpress.com</t>
  </si>
  <si>
    <t>Gota a gota, el diluvio. En el arca, reservado dº de admisión. Ius, non iniuria. Del derecho. Y del revés.</t>
  </si>
  <si>
    <t>Paco Menendez ☮🌻</t>
  </si>
  <si>
    <t>Tribuna | ¿Para qué sirve hoy la monarquía?; por @Pablo_Iglesias_  vía @el_pais</t>
  </si>
  <si>
    <t>Sesión de Control</t>
  </si>
  <si>
    <t>Sigue la guerra civil en @ahorapodemos. Pablo Iglesias, sobre Manuela Carmena: 'Si nosotros no hubiéramos propuesto a Carmena, no habría sido alcaldesa'.</t>
  </si>
  <si>
    <t>Salamanca, España</t>
  </si>
  <si>
    <t>La tierra no es herencia de nuestros padres sino préstamo de nuestros hijos (refrán indio). En EQUO, trabajando por ello.</t>
  </si>
  <si>
    <t>https://www.vozpopuli.com/politica/Iglesias-Carmena-alcaldesa-madrid-podemos_0_1193580769.html</t>
  </si>
  <si>
    <t>Tomas Fernandez 🇪🇸</t>
  </si>
  <si>
    <t>Esto para @pablo_iglesias_ aunque me tengas bloqueado😘</t>
  </si>
  <si>
    <t>Acercando la labor política a los ciudadanos</t>
  </si>
  <si>
    <t>http://www.sesiondecontrol.org</t>
  </si>
  <si>
    <t>https://pbs.twimg.com/media/DsqYsuFX4AAf8i8.jpg</t>
  </si>
  <si>
    <t>Español @utonomo y padre , Sobrevivo como trabajador de fortuna. Por un país justo y próspero Amante de la montaña y de el Deporte .Viva España🇪🇸🎚</t>
  </si>
  <si>
    <t>JorgeMM</t>
  </si>
  <si>
    <t>Esto es lo que defienden @fernandeznorona @diazpol_ @RENE_BEJARANO_M @JohnMAckerman @abrahamendieta @katuarkonada @Dolores_PL @yeidckol @alfreserramanci @MonederoJC @Pablo_Iglesias_ Y @lopezobrador_ se niega a condenar y más bien invita al dictador de Venezuela a su fiesta. RT @TorresAren: EN #200AñosRepúblicaDeVenezuela NUNCA Se habían visto estás atrocidades como las que hace la GUARDIA NAZI-ONAL del DICTADOR NICOLÁS MADURO En el ESTADO FALCÓN VENEZUELA A los opositores alREGIMEN Y la comunidad internacional🤐 #21Nov #22Nov #FelizMiercoles</t>
  </si>
  <si>
    <t>https://twitter.com/TorresAren/status/1064991662219411456
https://twitter.com/AdamSmithFree/status/1056955827666456576/video/1</t>
  </si>
  <si>
    <t>PREMIO A LA ACCESIBILIDAD AICE 2018 El jurado ha considerado que el Premio debe recaer en Pablo Iglesias, único líder político, de los 4 partidos de ámbito estatal, que publica casi todos sus mensajes en video,...</t>
  </si>
  <si>
    <t>Guanajuato, México</t>
  </si>
  <si>
    <t>“Dejen decir, déjense vituperar, condenar, encarcelar, ahorcar, pero publiquen siempre su pensamiento” Paul-Louis Courier</t>
  </si>
  <si>
    <t>https://www.facebook.com/FederacionAICE/posts/2187808597904262</t>
  </si>
  <si>
    <t>Más comentados ahora en Izquierda/Centro Izqda.: ➀ @sanchezcastejon ↑ ➁ @gabrielrufian ➂ @PSOE ↓ ➃ @PPopular ↓ ➄ @susanadiaz ↑ ➅ @Pablo_Iglesias_ ↑↑ ➆ @Irene_Montero_ ↑ ➇ @ahorapodemos ↑ ➈ @JosepBorrellF ↑</t>
  </si>
  <si>
    <t>Arturo Rojillo</t>
  </si>
  <si>
    <t>Y en España sin hacer caso.. ¿Vais hacerle caso ahora al Parlamento Europeo? @PSOE @sanchezcastejon @ahorapodemos @Pablo_Iglesias_</t>
  </si>
  <si>
    <t>https://m.eldiario.es/politica/Parlamento-Europeo-Gobierno-Fundacion-Francisco_0_828717613.html</t>
  </si>
  <si>
    <t xml:space="preserve"> Sarriguren</t>
  </si>
  <si>
    <t>Osasunista, sanferminero.. pero sobre todo Navarro, de la Nabarra Entera y maritima, de Nafarroa Osoa.</t>
  </si>
  <si>
    <t>http://arturorojillo.blogspot.com.es</t>
  </si>
  <si>
    <t>CNT VIGO</t>
  </si>
  <si>
    <t>Si Pablo Iglesias Posse levantara la cabeza, se pegaría un tiro. Sois la vergüenza de aquello que se llamo Alianzas Obreras.</t>
  </si>
  <si>
    <t>https://pbs.twimg.com/media/DsrwNkCW0AAMsld.jpg</t>
  </si>
  <si>
    <t>Elazote</t>
  </si>
  <si>
    <t>Para entendernos @ManuelaCarmena funda Mas Madrid que está compuesta por ella como líder Suprema y los desertores de podemos qué pasan en el conde de Galapagar @Pablo_Iglesias_ pero que quieren seguir viviendo como el conde de Galapagar</t>
  </si>
  <si>
    <t>Vigo, Galicia</t>
  </si>
  <si>
    <t>SOV de la CNT-VIGO. Sin liberados, sin subvenciones. Tu herramienta de lucha. C/ Principe 22, 1ª Planta, Local 34. L 18h a 21h, Mi 17:30 a 20h y V 18:30 a 20:30</t>
  </si>
  <si>
    <t>http://facebook.com/sov.vigo</t>
  </si>
  <si>
    <t>Mar Doña✌🏼✊🏼</t>
  </si>
  <si>
    <t>¿Para qué sirve hoy la monarquía?' por @Pablo_Iglesias_ "Una nueva república será la mejor garantía para una España unida sobre la base del respeto y la libre decisión de sus pueblos y sus gentes"</t>
  </si>
  <si>
    <t xml:space="preserve">Zaragoza </t>
  </si>
  <si>
    <t>“Mucha gente pequeña en lugares pequeños, haciendo cosas pequeñas pueden cambiar el mundo” ¡Claro que PODEMOS! Debate con respeto. Al primer insulto bloqueo.</t>
  </si>
  <si>
    <t>Francisco José Rubio</t>
  </si>
  <si>
    <t>Es curioso que @Pablo_Iglesias_ y @perezreverte vean la importancia de la guillotina francesa. Muy curioso.</t>
  </si>
  <si>
    <t>Murcia</t>
  </si>
  <si>
    <t>¿Quién dice la gente que soy yo?</t>
  </si>
  <si>
    <t>Carlos D'Artagnan</t>
  </si>
  <si>
    <t>.@el_pais .@Pablo_Iglesias_ que no os queda duda, ¡YO, CON EL REY!</t>
  </si>
  <si>
    <t>https://pbs.twimg.com/media/Dspe3gQUUAAtoGQ.jpg</t>
  </si>
  <si>
    <t>manuel llamas</t>
  </si>
  <si>
    <t>Iglesias carga contra Bruselas y el FMI por desmontar sus Presupuestos: "Ofrecen miseria social" a España  Pablo Iglesias es el mayor experto en "miseria", tanto social como económica y moral</t>
  </si>
  <si>
    <t>.@el_pais y .@Pablo_Iglesias_ se pueden ir ambos un poquito a la mierda. RT @libertaddigital: Iglesias utiliza 'El País' para atacar a la monarquía: "Una nueva república será la mejor garantía para una España unida"</t>
  </si>
  <si>
    <t>https://twitter.com/libertaddigital/status/1065523550281289728
http://dlvr.it/QrqvYj</t>
  </si>
  <si>
    <t>Periodista, redactor jefe de Economía de Libertad Digital y Libre Mercado, miembro del Instituto Juan de Mariana.</t>
  </si>
  <si>
    <t>http://www.libremercado.com/</t>
  </si>
  <si>
    <t>Silvia Rua</t>
  </si>
  <si>
    <t>Así es podemos, así es @pnique junto con @Pablo_Iglesias_ @Irene_Montero_ y toda la mierda prodemita RT @CastigadorY: No hay nada cómo escuchar a un dirigente de Podemos criticar al propio partido, que no caiga en el olvido este vídeo, por cierto, para el que no lo sepa poco después de estas declaraciones le mandaron a un sicario para que le partiera la cara cómo buenos demócratas que son.</t>
  </si>
  <si>
    <t>https://twitter.com/CastigadorY/status/1065579194179031040</t>
  </si>
  <si>
    <t>pic.twitter.com/VgV2jFEZlk</t>
  </si>
  <si>
    <t>Bueu, España</t>
  </si>
  <si>
    <t>ex-presidenta Asoc.Nac.Arnold.Chiari. Radio,prensa,TV. sin cortapisas, darme un micrófono y diré que pienso, partido Pacma,Amo los lobos.sigo a quién me siga.</t>
  </si>
  <si>
    <t>Jose L. Sotelo</t>
  </si>
  <si>
    <t>#Vnzla Será la Tumba Electoral de @ahorapodemos ⏩Quien no ha condenado el Hambre, La Miseria y el Asesinato en ese País de parte de la Dictadura de #Maduro ➡NO puede gobernar nada, mucho menos @Pablo_Iglesias_ y los suyos Q'Odian España, sus Leyes, Su Bandera, su Historia!</t>
  </si>
  <si>
    <t>Esteban Gámez</t>
  </si>
  <si>
    <t>https://pbs.twimg.com/media/DspWvc_VAAAchm-.jpg</t>
  </si>
  <si>
    <t>Cantabria</t>
  </si>
  <si>
    <t>NO HABRA PAZ PARA LOS MALDITOS</t>
  </si>
  <si>
    <t>https://pbs.twimg.com/media/DsrukrEXQAEgd18.jpg</t>
  </si>
  <si>
    <t>https://plus.google.com/101097701906649811564</t>
  </si>
  <si>
    <t>Gijón</t>
  </si>
  <si>
    <t>Profesional del medio, apasionado de las nuevas tecnologías y de la tierra Asturiana</t>
  </si>
  <si>
    <t>Igerte</t>
  </si>
  <si>
    <t>.@Pablo_Iglesias_ eres patético. Ya era hora de que alguien te lo dijera. You’re scumb. #ParaQuéSirveLaMonarquía</t>
  </si>
  <si>
    <t>La Bellota Mekánika</t>
  </si>
  <si>
    <t>Pablo, no es patriotismo, es controlar y fiscalizar un nido de piratas Brexit: Pablo Iglesias califica de "patriotismo extraño" defender la soberanía de Gibraltar</t>
  </si>
  <si>
    <t>https://okdiario.com/espana/2018/11/23/iglesias-califica-patriotismo-extrano-defender-soberania-gibraltar-3382790#.W_fg1BfhQZc.twitter</t>
  </si>
  <si>
    <t>Living in an escape room with 46M people</t>
  </si>
  <si>
    <t>extrema y dura</t>
  </si>
  <si>
    <t>como un colorín, libre, libre, al sol y al viento. 100% puro bellota, ibérico y español. una mákina de la dehesa y la sierra profunda. se ajila a pejigueras</t>
  </si>
  <si>
    <t>José Luis Piñero</t>
  </si>
  <si>
    <t>Y la noticia llega a España... donde estan los amigos del régimen como @ierrejon @Pablo_Iglesias_ @pnique Chavista, rico y prófugo de Estados Unidos  vía @elmundoes</t>
  </si>
  <si>
    <t>Federico moreno</t>
  </si>
  <si>
    <t>https://www.elmundo.es/internacional/2018/11/22/5bf59ab7e2704e802b8b47d7.html</t>
  </si>
  <si>
    <t>No hay manera. Es superior a sus fuerzas, El señorito Pablo tiene que dar la nota. Pablo Iglesias no apoyará a Sánchez para "patriotismos extraños" con Gibraltar  vía @expansioncom</t>
  </si>
  <si>
    <t>http://www.expansion.com/economia/2018/11/23/5bf7bf0fe2704e3b5a8b45b6.html</t>
  </si>
  <si>
    <t xml:space="preserve">Venezuela </t>
  </si>
  <si>
    <t>Maquillador Artístico, con mas de 25 años de experiencia, master de maquillaje en Europa.</t>
  </si>
  <si>
    <t>Juan Quiñones</t>
  </si>
  <si>
    <t>Esto son presos políticos @gabrielrufian @pnique @Pablo_Iglesias_ @MonederoJC</t>
  </si>
  <si>
    <t>manuellopezmariño</t>
  </si>
  <si>
    <t>pic.twitter.com/11f1GdHVMs</t>
  </si>
  <si>
    <t>Madrid: Pablo Iglesias le recuerda a Manuela Carmena que fue Podemos quien la llevó a la alcaldía y le pide "generosidad"</t>
  </si>
  <si>
    <t>En casa de Dron</t>
  </si>
  <si>
    <t>Feo, fuerte y formal</t>
  </si>
  <si>
    <t>https://okdiario.com/espana/2018/11/23/iglesias-recuerda-manuela-carmena-que-fue-podemos-quien-propuso-alcaldesa-pide-generosidad-3382897#.W_fgNMd-S74.twitter</t>
  </si>
  <si>
    <t>Monte xalo</t>
  </si>
  <si>
    <t>Mi pasion el DEPOR, mi afición la fotografia, colaborador de 21 NOTICIAS. Mis BLOG XALOMONTE FOTOGRAFIA BLOG y RIAZORDEPORTIVO BLOG</t>
  </si>
  <si>
    <t>http://riazordeportivo.blogspot.com.es</t>
  </si>
  <si>
    <t>MagdaPao</t>
  </si>
  <si>
    <t>A @Pablo_Iglesias_ no le funciona ni los círculos</t>
  </si>
  <si>
    <t>https://okdiario.com/espana/2018/11/22/podemos-cierra-granma-que-lanzo-darse-autobombo-editar-solo-numero-3375752</t>
  </si>
  <si>
    <t>Juan Antonio Tirado</t>
  </si>
  <si>
    <t>Transición y Constitución como referentes. ESPAÑA.</t>
  </si>
  <si>
    <t>http://dlvr.it/QrwVt7</t>
  </si>
  <si>
    <t>https://pbs.twimg.com/media/DsrtGbfU8AAOw76.jpg</t>
  </si>
  <si>
    <t>ISOFYR</t>
  </si>
  <si>
    <t>10N Encuentro estatal republicano y primera piedra en el camino @Pablo_Iglesias_ @AdaColau @XavierDomenechs @agarzon @EnComu_Podem @Podem_BCN @iescolar @publico_eshttp://www.isofyr.org/index.php/641-10n-encuentro-estatal-republicano-y-primera-piedra-en-el-camino</t>
  </si>
  <si>
    <t>https://pbs.twimg.com/media/DspLu2EXgAEjqPf.jpg</t>
  </si>
  <si>
    <t>Periodista. Onda Cero. Editor de iBooks, director de @Stonewall_iBook; Radio Inter, Onda Madrid, Radio Voz, City Fm; Prensa4, El Telegrafo y Fotos; PopularTV...</t>
  </si>
  <si>
    <t>https://itunes.apple.com/es/book/gettysburg-1863/id665369445?mt=11</t>
  </si>
  <si>
    <t>Partido político definido en su propio nombre.</t>
  </si>
  <si>
    <t>http://isofyr.org/</t>
  </si>
  <si>
    <t>elotrokiosko.net</t>
  </si>
  <si>
    <t>Pablo Iglesias asegura que defenderá lo que planteen Rodríguez y Maíllo sobre pactos de gobierno tras el 2D</t>
  </si>
  <si>
    <t>L.F.L.E</t>
  </si>
  <si>
    <t>https://ift.tt/2S9i4HA</t>
  </si>
  <si>
    <t>Bruce, gracias por ser tan bello. Verte a ti después de haber viajado por Twitter entre tuits de @Pablo_Iglesias_,@pnique y @BeatrizTalegon es altamente reconfortante. Tú no eres mentira. Tú vas de frente. Tú construyes y no destruyes. Tú eres más persona. Tú...Te quiero Bruce.</t>
  </si>
  <si>
    <t>https://pbs.twimg.com/media/Dsrs8rQWsAIK4O9.jpg</t>
  </si>
  <si>
    <t>https://pbs.twimg.com/media/DspK9CgV4AEnvz6.jpg</t>
  </si>
  <si>
    <t>http://elotrokiosko.net</t>
  </si>
  <si>
    <t>Las Rozas de Madrid, España</t>
  </si>
  <si>
    <t>Familia, Bankia (antes Caja Madrid), Cualquier lugar del mundo y Atleti, son ese motivo que dan sentido a una vida aparentemente normal. Ansia del Euromillón.</t>
  </si>
  <si>
    <t>Fermín Huerta</t>
  </si>
  <si>
    <t>Que no se entere @Pablo_Iglesias_ @ahorapodemos que les jode el guión.... ¿no se puede censurar esto de algún modo? Que haga algún especial Ferreras o algo...más periodismo... RT @NunezHuesca: Por favor, un cartel luminoso con esto. De neón. Grande. Enorme. A la entrada de cada ciudad y de cada pueblo. En papel, en el ascensor de cada edificio, en la nevera de cada casa. Un país que no se quiere es un país sin futuro.</t>
  </si>
  <si>
    <t>https://twitter.com/NunezHuesca/status/1065739279031242752
https://twitter.com/el_pais/status/1065575657730654208</t>
  </si>
  <si>
    <t>Tomás 🐶🤔</t>
  </si>
  <si>
    <t>MIRA MIRA 😀😀😀😀😀 Que guapinos salieron el macho alfa uyyysss perdón @Pablo_Iglesias_ y el bufón @pnique 😂😂😂😂😂😂😂👇👇👇👇👇👇 Podemos cierra 'La mitad del camino', el periódico que lanzó para darse autobombo tras editar un solo número</t>
  </si>
  <si>
    <t>https://okdiario.com/espana/2018/11/22/podemos-cierra-granma-que-lanzo-darse-autobombo-editar-solo-numero-3375752/amp</t>
  </si>
  <si>
    <t>Oviedo, España</t>
  </si>
  <si>
    <t>Errar es humano....Pero echarle la culpa a otro, es más humano todavia...🙄🤔</t>
  </si>
  <si>
    <t>EP Nacional</t>
  </si>
  <si>
    <t>Gibraltar Español</t>
  </si>
  <si>
    <t>Lo habéis tenido todo al alcance de la mano, y lo váis a perder todo por no aceptar una mano tendida desde España. Era @sanchezcastejon el que os ofreció ir de la mano. Ahora... probad con @Pablo_Iglesias_</t>
  </si>
  <si>
    <t>https://twitter.com/FabianPicardo/status/1065741871622819840</t>
  </si>
  <si>
    <t>Gibraltar, España</t>
  </si>
  <si>
    <t>Defendemos el derecho legítimo de España a reclamar la soberanía de la colonia británica de Gibraltar y exigimos su descolonización.</t>
  </si>
  <si>
    <t>Twitter oficial del servicio de noticias Nacional de la agencia de noticias Europa Press</t>
  </si>
  <si>
    <t>http://www.facebook.com/Gibraltar.Espannol</t>
  </si>
  <si>
    <t>http://www.europapress.es/nacional/</t>
  </si>
  <si>
    <t>Más comentados ahora en Derecha/Centro Dcha.: ➀ @sanchezcastejon ↓ ➁ @Alvisepf ↓ ➂ @UPYDEuskadi ↓ ➃ @jitorreblanca ↓ ➄ @MariaTabarnia ↑ ➅ @JosepBorrellF ↓ ➆ @gabrielrufian ➇ @agarzon ↑ ➈ @Pablo_Iglesias_ ↑ ➉ @PSOE ↓</t>
  </si>
  <si>
    <t>Iglesias recuerda a Carmena que no sería alcaldesa sino la hubieran propuesto y le pide generosidad  El secretario general de Podemos, Pablo Iglesias, ha recordado este viernes que la alcaldesa de Madrid, Manuela Carmena, fue elegida gracias a que fue pr…</t>
  </si>
  <si>
    <t>https://ift.tt/2FzZ975</t>
  </si>
  <si>
    <t>Juan Sánchez</t>
  </si>
  <si>
    <t>Sin una elemental distinción entre una república presidencialista y una parlamentaria, la cuestión carece del más mínimo rigor y funde dos regímenes opuestos en uno. En personas como @pablo_iglesias_ y @agarzon ,conocedores de la teoría política y constitucional,eso es una estafa RT @agarzon: Muy buen artículo de @Pablo_Iglesias_ publicado hoy: “¿Para qué sirve hoy la monarquía?” Totalmente de acuerdo con su conclusión: una nueva república será la mejor garantía para una España unida, justa y democrática.</t>
  </si>
  <si>
    <t>Alfacebook 🇪🇸</t>
  </si>
  <si>
    <t>https://twitter.com/agarzon/status/1065513710586859520
https://elpais.com/elpais/2018/11/21/opinion/1542806031_921444.html</t>
  </si>
  <si>
    <t>Galicia, España</t>
  </si>
  <si>
    <t>Ingeniero de telecomunicaciones interesado en la tecnología, en la filosofía y en las relaciones humanas.</t>
  </si>
  <si>
    <t>Zaragoza 🇪🇸🇪🇸</t>
  </si>
  <si>
    <t>La política de izquierdas de este pais huele a rancio. 🇪🇸🇪🇸</t>
  </si>
  <si>
    <t>🔴 @ManuelaCarmena niega tener nada que ver con @Pablo_Iglesias_ y @ahorapodemos a pesar de tener miembros del partido en su equipo. Ahora, Carmena presenta una candidatura independiente a la alcaldía de @MADRID. ¿Creen ustedes que ha hecho bien? #ElCascabel22N</t>
  </si>
  <si>
    <t>https://pbs.twimg.com/media/DspDvpWU0AAsKy3.jpg</t>
  </si>
  <si>
    <t>https://okdiario.com/espana/2018/11/23/iglesias-recuerda-manuela-carmena-que-fue-podemos-quien-propuso-alcaldesa-pide-generosidad-3382897</t>
  </si>
  <si>
    <t>Victoria</t>
  </si>
  <si>
    <t>Esto vale OROOOOO!! 👏🏻👏🏻👏🏻👏🏻 que tal @pnique @MonederoJC @Pablo_Iglesias_ jajaja cómo les quedó el ojo? 🙄🙄😳😳🙈🙈🙈 RT @CastigadorY: No hay nada cómo escuchar a un dirigente de Podemos criticar al propio partido, que no caiga en el olvido este vídeo, por cierto, para el que no lo sepa poco después de estas declaraciones le mandaron a un sicario para que le partiera la cara cómo buenos demócratas que son.</t>
  </si>
  <si>
    <t>https://twitter.com/castigadory/status/1065579194179031040</t>
  </si>
  <si>
    <t>La discapacidad no es enfermedad es una condición que puede desaparecer si eliminamos las barreras del entorno. AntiCHABESTIA. Irónica, realista e irreverente</t>
  </si>
  <si>
    <t>Batman doctorando🎗Los Borbones son unos ladrones</t>
  </si>
  <si>
    <t>Aquí, un claro ejemplo de los efectos del alcohol en un imbécil. Hermann Tertsch cree que la monarquía sirve "para evitar que sea necesaria una guerra para impedir una dictadura de Pablo Iglesias"  via @eldiarioes</t>
  </si>
  <si>
    <t>https://www.eldiario.es/_31fba808</t>
  </si>
  <si>
    <t>miguelon</t>
  </si>
  <si>
    <t>A este después del vídeo bailando ya no le deja salir @Pablo_Iglesias_ , a que no pablo ? RT @rouco64: 🔴🔴Escuchen a @MonederoJC CANTANDO en la anterior campaña andaluza. En esta, todavía puede superarse🔻🔻</t>
  </si>
  <si>
    <t>https://twitter.com/rouco64/status/1065532138798366720</t>
  </si>
  <si>
    <t>Sant Esteve de les Roures</t>
  </si>
  <si>
    <t>No tengo un master en URJC, pero teniendo un capital suficiente y un laboratorio adecuado podria ser Batman. Sheldon Cooper🖖</t>
  </si>
  <si>
    <t>pic.twitter.com/8E9BL0AbL6</t>
  </si>
  <si>
    <t>disfrutando la vida</t>
  </si>
  <si>
    <t>Andrew Jackson 🏴󠁧󠁢󠁳󠁣󠁴󠁿</t>
  </si>
  <si>
    <t>¿Para qué sirven los partidos políticos, @Pablo_Iglesias_ ?  RT @hermanntertsch: ElPaís, ya alineado con el Frente Popular y la voladura de la Constitución, publica una arremetida de Pablo Iglesias contra la monarquía. Titula¿Para qué sirve hoy la monarquía? La monarquía sirve para evitar que sea necesaria una guerra para impedir la dictadura que él pretende.</t>
  </si>
  <si>
    <t>https://twitter.com/ichingiking/status/1065603956976611329?s=19
https://twitter.com/hermanntertsch/status/1065501778270191617</t>
  </si>
  <si>
    <t>I am a quantum curve of possibilities. What I think, feel and do in every moment determines my present and my future.</t>
  </si>
  <si>
    <t>Europa Press</t>
  </si>
  <si>
    <t>Adrián Miñano Almagro.</t>
  </si>
  <si>
    <t>Porqué @sanchezcastejon @PSOE va a visitar la tumba de Mohamed V a Marruecos y a Raúl Castro a cuba? Creo que son dictadores o algo parecido o semejante a unos dictadores. Podría ir a visitar la de Franco. @PPopular @CiudadanosCs y acompañado de @Pablo_Iglesias_ y ya a Maduro.</t>
  </si>
  <si>
    <t>Andalucía</t>
  </si>
  <si>
    <t>Twitter oficial de la agencia de noticias Europa Press de Andalucía</t>
  </si>
  <si>
    <t>http://www.europapress.es/andalucia/</t>
  </si>
  <si>
    <t>DS Real Murcia. G. Fuertes.</t>
  </si>
  <si>
    <t>Verdadera Izquierda</t>
  </si>
  <si>
    <t>LeyDeMurfi</t>
  </si>
  <si>
    <t>🚨 El Gobierno de Sánchez deja sin apenas Guardia Civil a seis municipios de Madrid por vigilar la casa de Pablo Iglesias ➡  EL MISMO QUE SE EMOCIONABA CUANDO APALEABAN POLICIAS....</t>
  </si>
  <si>
    <t>#ParaQueSirveLaMonarquia @Pablo_Iglesias_ pues voy a intentar ser breve. Para lo mismo que la presidencia en Alemania, Italia, Francia....</t>
  </si>
  <si>
    <t>http://ow.ly/tIJK30mDEqk</t>
  </si>
  <si>
    <t>Perfil creado para desenmascarar las mentiras de la izquierda y del socialismo de este gran país llamado España. Para descubrirlos lee nuestro blog:</t>
  </si>
  <si>
    <t>http://verdaderaizquierda.blogspot.com</t>
  </si>
  <si>
    <t>Daniel Baños // Daniêh Bañô.</t>
  </si>
  <si>
    <t>El sábado 24, #AdelanteAndalucía en Sevilla. Tickets aquí.  @AdelanteAND @AdelanteSev @IzqAndalucista @PrimaveraAND @iuandalucia @Podemos_AND @TeresaRodr_ @MailloAntonio @Pablo_Iglesias_ @pilartavora @Pilaresdiferent @marigarci62 @agarzon @JoseChamizo_</t>
  </si>
  <si>
    <t>Sevilla, Andalucía.</t>
  </si>
  <si>
    <t>Graduado Social. Andaluz de Camas (Sevilla). En @IzqAndalucista... por una Andalucía Libre!!! e-mail: daniel.bro@hotmail.com</t>
  </si>
  <si>
    <t>http://www.izquierdaandalucista.org</t>
  </si>
  <si>
    <t>Obi Wan Kenobi</t>
  </si>
  <si>
    <t>.@Pablo_Iglesias_ Pablete, cuando incluso una incompetente como @ManuelaCarmena te toma por el pito del sereno significa que estás acabado políticamente.</t>
  </si>
  <si>
    <t>https://www.elmundo.es/madrid/2018/11/22/5bf6f3f2ca474129628b45b9.html</t>
  </si>
  <si>
    <t>Sevilla 24 horas</t>
  </si>
  <si>
    <t>Iglesias defenderá lo que planteen Teresa Rodríguez y Maíllo sobre pactos de gobierno tras el 2D  El secretario general de Podemos, Pablo Iglesias, ha insistido en que defenderá los pactos de gobierno que plantee la coalición Adelante Andalucía, liderada…</t>
  </si>
  <si>
    <t>Països Tabarneses</t>
  </si>
  <si>
    <t>Cuando vayáis a votar recordad que el @PSOE y @ahorapodemos están contra la prisión permanente revisable, protegiendo así a asesinos de niños y a violadores.</t>
  </si>
  <si>
    <t>https://ift.tt/2znEw8J</t>
  </si>
  <si>
    <t>Fer Abadia</t>
  </si>
  <si>
    <t>Para ti y los tuyos @Pablo_Iglesias_</t>
  </si>
  <si>
    <t>Diario digital con noticias de Sevilla, Andalucía y el mundo</t>
  </si>
  <si>
    <t>http://www.sevilla24horas.com</t>
  </si>
  <si>
    <t>https://youtu.be/6cetNaEfwpE</t>
  </si>
  <si>
    <t>El Santo</t>
  </si>
  <si>
    <t>Cuan populista eres? A mí me ha salido en el cuadrante de arriba a la izquierda, pegado a Pablo Iglesias. ¿A vosotros?</t>
  </si>
  <si>
    <t>MADRID (SPAIN)</t>
  </si>
  <si>
    <t>Nací en Barcelona (España) vivo en Madrid (España) y veraneo en San Quirico (España)</t>
  </si>
  <si>
    <t>https://www.theguardian.com/world/ng-interactive/2018/nov/21/how-populist-are-you-quiz</t>
  </si>
  <si>
    <t>Marina</t>
  </si>
  <si>
    <t>Community of Valencia, Spain</t>
  </si>
  <si>
    <t>Yo he estado en #SanJuandeAznalfarache esta tarde y he visto a gente tapándose la cara con pasamontañas insultando gravemente. Si tenían alguna razón la han perdido con ese comportamiento intolerante y anti democrático #YoConSusana. No estarías tú Allí? Q dirá @Pablo_Iglesias_. RT @hypatiascorner: @ridermarina @Pablo_Iglesias_ Son taxistas, guapa. Preguntate por que obreros "revientan" un acto socialista? La culpa en casa de la que se la merece.</t>
  </si>
  <si>
    <t>Exmartillo de imbéciles y guardian del sentido común.</t>
  </si>
  <si>
    <t>https://twitter.com/hypatiascorner/status/1065729289449062400</t>
  </si>
  <si>
    <t>España. Sevilla</t>
  </si>
  <si>
    <t>Me llamo Marina trabajo Cómo TEL en el SAS. Soy socialista</t>
  </si>
  <si>
    <t>Yo he estado en #SanJuandeAznalfarache esta tarde y he visto a gente tapándose la cara con pasamontañas insultando gravemente. Si tenían alguna razón la han perdido con ese comportamiento intolerante y anti democrático #YoConSusana. No estarías tú Allí? Q dirá @Pablo_Iglesias_ RT @hypatiascorner: @ridermarina Cuanto os duele estar al lado del pueblo obrero, "socialistos"! Anda, a enchufar a mas familiares inutiles en NUESTRAS instituciones, golpistas.</t>
  </si>
  <si>
    <t>https://twitter.com/hypatiascorner/status/1065725374502457344</t>
  </si>
  <si>
    <t>https://okdiario.com/espana/2018/11/23/iglesias-califica-patriotismo-extrano-defender-soberania-gibraltar-3382790#.W_fdKQwPUXo.twitter</t>
  </si>
  <si>
    <t>Los de @Pablo_Iglesias_ Entran a saco, después d q nos hayan reventado un acto? RT @hypatiascorner: @ridermarina Cuanto os duele estar al lado del pueblo obrero, "socialistos"! Anda, a enchufar a mas familiares inutiles en NUESTRAS instituciones, golpistas.</t>
  </si>
  <si>
    <t>Los de @Pablo_Iglesias_ Entran a saco, después d q nos hayan reventado un acto?... RT @1789Libertario: @hypatiascorner @ridermarina Estos no tienen idea de lo que es Socialismo.</t>
  </si>
  <si>
    <t>https://twitter.com/1789Libertario/status/1065726484030136320</t>
  </si>
  <si>
    <t>Los de @Pablo_Iglesias_ entran con los de VOX, a insultar después de Reventar un acto. Q pensará Pablo d esto? RT @1789Libertario: @hypatiascorner @ridermarina Estos no tienen idea de lo que es Socialismo.</t>
  </si>
  <si>
    <t>Jesús Margar</t>
  </si>
  <si>
    <t>En esta casa siempre un paso por delante de @Pablo_Iglesias_ pero sólo uno.</t>
  </si>
  <si>
    <t>Jacobo Monfort</t>
  </si>
  <si>
    <t>https://pbs.twimg.com/media/Dso3FJfU4AAip9T.jpg</t>
  </si>
  <si>
    <t>Bristol, England</t>
  </si>
  <si>
    <t>Geómetra, emigrante.</t>
  </si>
  <si>
    <t>http://www.communia.es</t>
  </si>
  <si>
    <t>ANA PEREZ FERREIRO 🖍</t>
  </si>
  <si>
    <t>Que @Pablo_Iglesias_ hable de respeto me ha convencido. Derroquemos a un rey preparado para votar a un Rufián o el compi que escupe a un Ministro en el Hemiciclo. RT @el_pais: "Una nueva república será la mejor garantía para una España unida sobre la base del respeto y la libre decisión de sus pueblos y sus gentes". Una tribuna de @Pablo_Iglesias_ #ParaQuéSirveLaMonarquía</t>
  </si>
  <si>
    <t>https://twitter.com/el_pais/status/1065612130370629632
http://ow.ly/Ndet30mIoS5</t>
  </si>
  <si>
    <t>Madrid-España</t>
  </si>
  <si>
    <t>Experta en #Comunicacion #malamadre de #ElBierzo #ciudadana I ❤️ opinar y la actualidad #memata</t>
  </si>
  <si>
    <t>Hispano</t>
  </si>
  <si>
    <t>Échele un par de cojones @Pablo_Iglesias_ y deje de apoyar al gobierno RT @Pablo_Iglesias_: Es indecente que Alcoa, una empresa que se ha beneficiado de cuantiosas ayudas públicas, deje en la calle a casi 700 trabajadores y trabajadoras en Galicia y Asturias sin que el Gobierno intervenga para evitarlo con todas las herramientas que tiene a su alcance.</t>
  </si>
  <si>
    <t>https://twitter.com/Pablo_Iglesias_/status/1065652376126803969</t>
  </si>
  <si>
    <t>Madrí - España</t>
  </si>
  <si>
    <t>Hispano. La conciencia del grillo. Honor: Cualidad moral que lleva al cumplimiento de los propios deberes respecto del prójimo y de uno mismo.</t>
  </si>
  <si>
    <t>Jonay Amaro</t>
  </si>
  <si>
    <t>Respetando la idea de @Pablo_Iglesias_ , a la que le falta un planteamiento más profundo, yo creo que el español está más harto de quién ocupa la monarquía que de la monarquía en si. Eso sí, se debe votar sí o sí, que no estamos en 1978.</t>
  </si>
  <si>
    <t>Mi consejo es: Está permitido que te caigas pero es una obligación que te levantes .Estudiante UCM Periodismo. Trabajé en la @larazon_es y en @capitaldeporte</t>
  </si>
  <si>
    <t>La TV de Pablo Iglesias ha recibido 9,3 millones del Gobierno de Irán desde paraísos fiscales</t>
  </si>
  <si>
    <t>https://okdiario.com/investigacion/2016/01/13/tv-pablo-iglesias-recibido-93-millones-del-gobierno-iran-desde-paraisos-fiscales-52923?fbclid=IwAR3xiAnVUEmUNaOxinX_8euk_gaBk6msQkeCbGVNFMP7EPSgcb70bJJH6GY</t>
  </si>
  <si>
    <t>Elpa Jarraco</t>
  </si>
  <si>
    <t>El camino que nos ha traído hasta aquí y que tal vez merezca ser revisado para encontrar un modelo de encaje para todos. @Pablo_Iglesias_</t>
  </si>
  <si>
    <t>Dicen que me parezco a Benicio del todo.</t>
  </si>
  <si>
    <t>JwL</t>
  </si>
  <si>
    <t>Señor @sanchezcastejon @Pablo_Iglesias_ ya podrían AYUDARNOS A #SOSlas1000 a que estos #fidere = #FondosBuitre , no nos pongan tantas trabas para ejercer nuestro derecho a compra, y no nos engañen</t>
  </si>
  <si>
    <t>Angel Mateo ن 🇪🇸</t>
  </si>
  <si>
    <t>Que poco os ha durado ⁦@pnique⁩ ⁦@Pablo_Iglesias_⁩ !! 🤪</t>
  </si>
  <si>
    <t>Español, católico, marido y padre, muy orgulloso de serlo. Anticomunista y antisocialista. De derechas. #VOX. Madrid.</t>
  </si>
  <si>
    <t>cangrejocoloraocasimorao</t>
  </si>
  <si>
    <t>DIOOOOSSSSS!.... Supera ésto Casadoooo!!! Hermann Tertsch cree que la monarquía sirve "para evitar que sea necesaria una guerra para impedir una dictadura de Pablo Iglesias"  vía @eldiarioes</t>
  </si>
  <si>
    <t>Enma #TABARNIA</t>
  </si>
  <si>
    <t>#Ilegalizacionpodemos Hipocritas Oportunistas 😡😡😡@AdaColau @ahorapodemos @pnique @MiguelUrban @ionebelarra @agarzon @Irene_Montero_ @RamonEspinar @MonederoJC @TeresaRodr_ @JM_Kichi @Pablo_Iglesias_ @ierrejon @BeatrizTalegon @iunida @MayoralRafa @Elisendalamany @carlossmato RT @Juan200363: @pnique</t>
  </si>
  <si>
    <t>https://m.eldiario.es/_31fba808</t>
  </si>
  <si>
    <t>https://twitter.com/Juan200363/status/1065712365218476032</t>
  </si>
  <si>
    <t>https://pbs.twimg.com/media/DsorvwvX4AAtyAw.jpg</t>
  </si>
  <si>
    <t>Las reglas de la vida no están escritas,.. Evoluvionan.</t>
  </si>
  <si>
    <t>Cordoba- España</t>
  </si>
  <si>
    <t>Sigo viva :-) #Tabarnia 🇪🇸</t>
  </si>
  <si>
    <t>Hugo Andrade</t>
  </si>
  <si>
    <t>Tomé el test de #TheGuardian #TheGuardianTest y resulta que soy un populista de derecha, cercano en ideología a Evo Morales y lejano a Pablo Iglesias.</t>
  </si>
  <si>
    <t>Maite Castillo</t>
  </si>
  <si>
    <t>En cinco años, @Pablo_Iglesias_ estará poniendo a la venta su mansión de Galapagar por no poder hacer frente a la hipoteca. Al tiempo.</t>
  </si>
  <si>
    <t>Toluca, México</t>
  </si>
  <si>
    <t>Profesor universitario, lingüista, fotógrafo, English teacher. Hobbies y temas: Futbol americano, cine, literatura moderna, cerveza, rock alternativo, deportes.</t>
  </si>
  <si>
    <t>val</t>
  </si>
  <si>
    <t>Donostiarra. Periodista de formación, vocación y experiencia. Amante de la literatura. Residente en Madrid.</t>
  </si>
  <si>
    <t>Me da vergüenza oír a Pablo Iglesias calificar d patrioterismo la defensa de los intereses españoles en Gibraltar,es una muestra más q hace suponer q España no le importa, y su gente menos, el campo de Gibraltar siempre será pobre con la rémora de Gibraltar y sus negocios sucios</t>
  </si>
  <si>
    <t>Es mi opinión y solo mía, aunque espero que otros la compartan.</t>
  </si>
  <si>
    <t>#Ilegalizacionpodemos fUERAAAAAAAA 😡😡@AdaColau @ahorapodemos @AhoraMadrid @pnique @MiguelUrban @ionebelarra @agarzon @Irene_Montero_ @RamonEspinar @MonederoJC @TeresaRodr_ @Pablo_Iglesias_ @ierrejon @BeatrizTalegon @iunida @MayoralRafa @Elisendalamany @LaFallaras @carlossmato RT @nnggmadrid: 👉🏻 Para Carmena, ahora, es impensable irse a la oposición. Antes, no se podía dejar tirados a sus votantes. Lo mismo ha pasado con lo de bajarse el sueldo y se lo subió. Lo mismo con quitar los coches oficiales y los utilizan como el Falcon. ✈️🤦</t>
  </si>
  <si>
    <t>https://twitter.com/nnggmadrid/status/1065669726809010178</t>
  </si>
  <si>
    <t>pic.twitter.com/Qm94iFboLO</t>
  </si>
  <si>
    <t>Más comentados ahora en Derecha/Centro Dcha.: ➀ @sanchezcastejon ↓ ➁ @Alvisepf ↓ ➂ @jitorreblanca ↓ ➃ @JosepBorrellF ↓ ➄ @ldpsincomplejos ↑ ➅ @PSOE ↑ ➆ @Desayunos_tve ↑ ➇ @Albert_Rivera ↑ ➈ @Pablo_Iglesias_ ↑</t>
  </si>
  <si>
    <t>Ben Tro بن ترو</t>
  </si>
  <si>
    <t>#Ilegalizacionpodemos Fueraaaaaaaaaaa @AdaColau @ahorapodemos @AhoraMadrid @pnique @MiguelUrban @ionebelarra @agarzon @Irene_Montero_ @RamonEspinar @MonederoJC @TeresaRodr_ @JM_Kichi @Pablo_Iglesias_ @ierrejon @BeatrizTalegon @iunida @MayoralRafa @Elisendalamany @LaFallaras RT @pablocast13: Pablo Iglesias habla de formar un república para garantizar la unidad de España. Lo dice el mismo que va a visitar a las cárceles a quienes quieren romperla. El mismo que se alía con los que desprenden odio en sede parlamentaria. La unidad de España no se crea, se defiende.</t>
  </si>
  <si>
    <t>https://twitter.com/pablocast13/status/1065674284868296704</t>
  </si>
  <si>
    <t>Vergüenza el artículo de Pablo Iglesias en El País de hoy () donde dice que la monarquía de Juan Carlos I fue el precio a pagar para contar con el "sistema de libertades" de la "democracia española", justificando la traición del PCE. Sigue...</t>
  </si>
  <si>
    <t>https://pbs.twimg.com/media/DsrmlvBXcAA9AOz.jpg</t>
  </si>
  <si>
    <t>Enrique Galinsoga</t>
  </si>
  <si>
    <t>Yo,con mis debidos respetos a esa opinión ,más bien diría q es @el_pais quien utiliza a @Pablo_Iglesias_ para difamar, atacar y querer cargarse la monarquía parlamentaria,q todos los españoles nos dimos al votar la Constitución de 1978. Soledad Gallego es una populista y sectaria RT @libertaddigital: Iglesias utiliza 'El País' para atacar a la monarquía: "Una nueva república será la mejor garantía para una España unida"</t>
  </si>
  <si>
    <t>En @DemocrObreraMad, adherente a la FLTI-CI (Fracción Leninista Trotskista Internacional - IV Internacional). Syrian Revolution supporter. From Madrid.</t>
  </si>
  <si>
    <t>http://flti-ci.org</t>
  </si>
  <si>
    <t>Gaditano, cadista,y además madridista,como toda persona sensata Liberal y asiduo lector de toda la prensa nacional</t>
  </si>
  <si>
    <t>Cadena SER Madrid</t>
  </si>
  <si>
    <t>Leo Mora</t>
  </si>
  <si>
    <t>Cuidado con ellos🤐 @sanchezcastejon @Pablo_Iglesias_ @gabrielrufian @pablocasado_</t>
  </si>
  <si>
    <t>https://pbs.twimg.com/media/Dsop08SXcAAH3Xv.jpg</t>
  </si>
  <si>
    <t>Las Palmas, Islas Canarias</t>
  </si>
  <si>
    <t>🇮🇨🇮🇨🇮🇨 Canarias.</t>
  </si>
  <si>
    <t>Toda la información de Cadena SER Madrid</t>
  </si>
  <si>
    <t>http://www.radiomadrid.es</t>
  </si>
  <si>
    <t>Isabel</t>
  </si>
  <si>
    <t>Marcos.</t>
  </si>
  <si>
    <t>Pablo estas mas tonto que el ssa de un cubo. Brexit: Pablo Iglesias califica de "patriotismo extraño" defender la soberanía de Gibraltar</t>
  </si>
  <si>
    <t>Nadie se ha dado cuenta la desgracia que debe de ser apellidarse Iglesias, al comunista, cristianófobo, y filochavista de @pablo_iglesias_</t>
  </si>
  <si>
    <t>UNED, Trabajo Social</t>
  </si>
  <si>
    <t>No es ego, es mi forma de ser. Un tal 26 de Abril de 1903 nació un sentimiento. // #FA #Æ #DELNARANJOALCIELO</t>
  </si>
  <si>
    <t>maria luisa</t>
  </si>
  <si>
    <t>Traidor.. Brexit: Pablo Iglesias califica de "patriotismo extraño" defender la soberanía de Gibraltar</t>
  </si>
  <si>
    <t>Victimasdelajusticia</t>
  </si>
  <si>
    <t>👏👏👏👏👏👏👏 Pero ... TODOS los q saliis en el video también lo tenéis a explicarnos por q votásteis q se utilicen nuestros datos sin nuestro consentimiento.Hacedlo 🙏 Si no leeis lo q votais..mejor es q os dediqueis a otra cosa... @JorgeLuisBail @Pablo_Iglesias_ @JUralde .. RT @Pablo_Iglesias_: Juan Carlos I tiene derecho a explicar su versión sobre su presunta corrupción, y la gente a escucharla. Que el rey emérito responda al llamamiento de los representantes de millones de ciudadanos y acuda por iniciativa propia al Congreso sería un gran paso para nuestra democracia</t>
  </si>
  <si>
    <t>https://okdiario.com/espana/2018/11/23/iglesias-califica-patriotismo-extrano-defender-soberania-gibraltar-3382790#.W_fYM6CslB4.twitter</t>
  </si>
  <si>
    <t>https://twitter.com/Pablo_Iglesias_/status/1063175557859459072</t>
  </si>
  <si>
    <t>https://pbs.twimg.com/media/DsEAwtlX0AAXBz3.jpg</t>
  </si>
  <si>
    <t xml:space="preserve">MI SUEÑO.  PODEMOS LIBERAL </t>
  </si>
  <si>
    <t>SOLO UN PODEMOS LIBERAL NOS SALVARÁ DEL COMUNISMO EN FASES.</t>
  </si>
  <si>
    <t>Asociaciòn de ámbito nacional formada por víctimas que, tras el apredizaje adquirido, intentan mejorar el sistema judicial actual y apoyar a otras vìctimas.</t>
  </si>
  <si>
    <t>http://www.victimasdelajusticia.es</t>
  </si>
  <si>
    <t>Pablo Iglesias asegura que defenderá lo que planteen Rodríguez y Maíllo sobre pactos de gobierno tras el 2-D</t>
  </si>
  <si>
    <t>Esperando que le hagáis sitio en Villa Tinaja... en cuanto haya tiempo el macho alfa uyyysss perdón @Pablo_Iglesias_ RT @Instituto25M: 🤔 ¿Dónde está la firma que falta para que el #AitaMari pueda zarpar y salvar vidas en el #Mediterráneo? El barco lleva MESES listo para navegar pero aún no ha recibido el permiso del @fomentogob. Esto es una emergencia humanitaria, ¿a qué están esperando? 🚨</t>
  </si>
  <si>
    <t>https://ift.tt/2TCr4Gw</t>
  </si>
  <si>
    <t>https://twitter.com/Instituto25M/status/1065669422017327104</t>
  </si>
  <si>
    <t>https://pbs.twimg.com/media/DsoEjetWwAAlttN.jpg</t>
  </si>
  <si>
    <t>GRAAN IN ASS EN ONAFHANKLIKE</t>
  </si>
  <si>
    <t>Sergio Valencia</t>
  </si>
  <si>
    <t>El impulso constituyente que empujó el 15-M y que empuja hoy el movimiento feminista apunta en una dirección republicana; instituciones que protejan a la gente antes que figuras de autoridad inamovibles. @Pablo_Iglesias_</t>
  </si>
  <si>
    <t>TABARNIA</t>
  </si>
  <si>
    <t>Las leyes se pueden cambiar.Pero si no las respetas,no esperes que te respete yo a ti.</t>
  </si>
  <si>
    <t>En mi hambre mando yo. No creo en dios ni en Jesucristo, creo en Evaristo. Si me ves retroceder, espera, que estoy cogiendo carrera. Claro que se puede🔻💜</t>
  </si>
  <si>
    <t>sapabla</t>
  </si>
  <si>
    <t>Licenciado en Ciencias de la Información.Técnico administración local, experto en movimientos sociales, cultura populat, nueva ciudadania(inmigración).</t>
  </si>
  <si>
    <t>http://www.convivenciaysolidaridad.blogspot.com</t>
  </si>
  <si>
    <t>Y Enric Juliana....ese hombre al que @Pablo_Iglesias_ hace publicidad de su libro...🤪💃🤪💃 RT @Yo_Soy_Asin: Si algo ha quedado claro desde ayer, es que el Sr @JosepBorrellF ES UN MENTIROSO #FelizJueves</t>
  </si>
  <si>
    <t>https://twitter.com/Yo_Soy_Asin/status/1065487260865445890</t>
  </si>
  <si>
    <t>https://pbs.twimg.com/media/DslfAxPW0AABwHX.jpg</t>
  </si>
  <si>
    <t>Pedro Luis🎗</t>
  </si>
  <si>
    <t>Pablo Iglesias pide "una nueva república" como garantía para "una España unida"  vía @elcomunistanet</t>
  </si>
  <si>
    <t>https://elcomunista.net/2018/11/22/pablo-iglesias-pide-una-nueva-republica-como-garantia-para-una-espana-unida/</t>
  </si>
  <si>
    <t>Clavijo, Españistán</t>
  </si>
  <si>
    <t>Ser de izquierdas y republicano es un orgullo. El capital-fascismo y la religión son la peor lacra de la humanidad. Apóstata, animalista y ecologista.</t>
  </si>
  <si>
    <t>Javier Diego</t>
  </si>
  <si>
    <t>Un diputado cántabro de @ahorapodemos sobre la crisis del partido: "La gestión de @Pablo_Iglesias_ y @pnique es puramente estalinista"  vía @eldiarioescan</t>
  </si>
  <si>
    <t>Johnny Zuri</t>
  </si>
  <si>
    <t>He añadido un vídeo a una lista de reproducción de @YouTube ( - Otra Vuelta de Tuerka - Pablo Iglesias con</t>
  </si>
  <si>
    <t>https://www.eldiario.es/_31fabe87</t>
  </si>
  <si>
    <t>http://youtu.be/VG7m-J12CBI?a</t>
  </si>
  <si>
    <t>#Enfermero MI en el#Hospital Tres Mares. Cuidando y creciendo. We Who Are Not As Others</t>
  </si>
  <si>
    <t>BUENAS, AQUÍ UN SERVIDOR. HOMBRE Y ESPAÑOL ¿PUEDO OPINAR LO QUE QUIERA SIN QUE ME INSULTES? GRACIASSSSSS http://zurired.es</t>
  </si>
  <si>
    <t>http://johnnyzuri.zurired.es/</t>
  </si>
  <si>
    <t>Rafa Garcia.</t>
  </si>
  <si>
    <t>Los presupuestos se quedarán en una declaración de buenas intenciones por desgracia @Pablo_Iglesias_ @sanchezcastejon y la culpa no la tendra los #catalunya</t>
  </si>
  <si>
    <t>https://pbs.twimg.com/media/Dsok2lmWkAAIk31.jpg</t>
  </si>
  <si>
    <t>L´Ametlla del Valles</t>
  </si>
  <si>
    <t>Activista social, inscrito @ahorapodemos y en @Podem_cat miembro del CCA de Catalunya en representación de los círculos sectoriales y territoriales</t>
  </si>
  <si>
    <t>Me ha gustado un vídeo de @YouTube ( - Otra Vuelta de Tuerka - Pablo Iglesias con Juan Manuel de Prada).</t>
  </si>
  <si>
    <t>carlos regatero</t>
  </si>
  <si>
    <t>La mejor garantía para una España unida sobre la base del respeto y la libre decisión de sus pueblos y sus gentes..... es que tú @Pablo_Iglesias_ no llegues nunca a presidir una república ¿Para qué sirve hoy la monarquía? | Opinión | EL PAÍS</t>
  </si>
  <si>
    <t>Pablo Iglesias defiende Gibraltar "por los trabajadores, no por un patriotismo extraño"  vía @indpcom</t>
  </si>
  <si>
    <t>https://www.elindependiente.com/politica/2018/11/23/pablo-iglesias-defiende-gibraltar-los-trabajadores-no-patriotismo-extrano/?utm_source=share_buttons&amp;utm_medium=twitter&amp;utm_campaign=social_share</t>
  </si>
  <si>
    <t>VOX Cartagena</t>
  </si>
  <si>
    <t>Sr. @Pablo_Iglesias_ la monarquía sirve para pararle los pies a gente como usted, que pretende instaurar en España una dictadura estalinista. Para ello mejor experimente en Corea del Norte. Viva España ¿Para qué sirve hoy la monarquía? | Opinión | EL PAÍS</t>
  </si>
  <si>
    <t>MRU.Ekkomoving</t>
  </si>
  <si>
    <t>Venezuela pagó 7 millones a Iglesias y Monedero para extender el bolivarismo. Noticias de España</t>
  </si>
  <si>
    <t>https://www.elconfidencial.com/espana/2016-04-04/financiacion-ilegal-podemos-venezuela-pago-millones-pablo-iglesias-juan-carlos-monedero-jorge-vestrynge_1178845/</t>
  </si>
  <si>
    <t>Cartagena, España</t>
  </si>
  <si>
    <t>Cuenta Oficial de Vox en Cartagena. El partido de los valores. #VOXÚtil #EspañaViva Contacto: info@voxcartagena.es Horario Sede: LMJV: 18-20 H. X: 11-13 H.</t>
  </si>
  <si>
    <t>http://voxcartagena.es</t>
  </si>
  <si>
    <t>Mojácar. Ibiza. ZARAGOZA</t>
  </si>
  <si>
    <t>Promotor / Inventor Unidad Reciclaje Móvil.URM.🇪🇸</t>
  </si>
  <si>
    <t>http://www.greenekko.es</t>
  </si>
  <si>
    <t>PioIin II</t>
  </si>
  <si>
    <t>Poco estamos comentando la similitud de discurso de Pablo Iglesias con Di Maio respecto de las políticas de presupuesto y la UE. Eso si, ha dicho que él no es xenofobo. RT @huyelobo: Syriza v2</t>
  </si>
  <si>
    <t>https://twitter.com/huyelobo/status/1065909102210154496</t>
  </si>
  <si>
    <t>https://pbs.twimg.com/media/Dsrekh6X4AAtx-b.jpg</t>
  </si>
  <si>
    <t>Juan Arza</t>
  </si>
  <si>
    <t>¿Cuál es el modelo de “democracia moderna” en el que se inspira @Pablo_Iglesias_ para España? RT @Pablo_Iglesias_: España debe terminar de convertirse en una democracia moderna. Una nueva república será la mejor garantía para una España unida sobre la base del respeto y la libre decisión de sus pueblos y sus gentes. #ParaQuéSirveLaMonarquía.</t>
  </si>
  <si>
    <t>https://twitter.com/pablo_iglesias_/status/1065504288393306112
https://elpais.com/elpais/2018/11/21/opinion/1542806031_921444.html</t>
  </si>
  <si>
    <t>Los más grandes volvemos a la vida tras la muerte para salvar a la humanidad. O sea. Gandalf y yo</t>
  </si>
  <si>
    <t>https://pbs.twimg.com/media/DslubFQXQAAofAn.jpg</t>
  </si>
  <si>
    <t>Barcelona, Catalunya, España.</t>
  </si>
  <si>
    <t>Non si abbandonare mai</t>
  </si>
  <si>
    <t>Julio Ganguita 🇪🇸</t>
  </si>
  <si>
    <t>Iglesias no apoyará a Sánchez para "patriotismos extraños" con Gibraltar</t>
  </si>
  <si>
    <t>https://www.elconfidencial.com/espana/2018-11-23/brexit-gibraltar-pablo-iglesias-pedro-sanchez-patriotismo_1664358/</t>
  </si>
  <si>
    <t>Cabra, España</t>
  </si>
  <si>
    <t>La corrupción en España solo puede solucionarla el detective Colombo.</t>
  </si>
  <si>
    <t>Es indignante q el diario @el_pais desde q lo dirige la sectaria y radical Soledad Gallego, es cada día más populista y está más cerca de los perroflautas de Podemos, q de la democracia. Ahora resulta q @el_pais se nos ha vuelto antimonárquico, y acude a @Pablo_Iglesias_ Que pena RT @hermanntertsch: ElPaís, ya alineado con el Frente Popular y la voladura de la Constitución, publica una arremetida de Pablo Iglesias contra la monarquía. Titula¿Para qué sirve hoy la monarquía? La monarquía sirve para evitar que sea necesaria una guerra para impedir la dictadura que él pretende.</t>
  </si>
  <si>
    <t>https://twitter.com/hermanntertsch/status/1065501778270191617</t>
  </si>
  <si>
    <t>Néstor Laso</t>
  </si>
  <si>
    <t>A Pablo Iglesias, el aliado de Petro en España, no le quieren las organizaciones internacionales.</t>
  </si>
  <si>
    <t>Abogado y Exp.en Relaciones Gubernamentales y Derecho Internacional. Otros Títulos Oficiales y Cursos Prof.Trato de ser cada día mejor profesional y ser humano.</t>
  </si>
  <si>
    <t>F. Colorado</t>
  </si>
  <si>
    <t>De verdad que .@Pablo_Iglesias_ se pregunta para qué sirve hoy la Monarquía? Para mucho más que el comunismo que defiende él. En fin...</t>
  </si>
  <si>
    <t>Madrileño de Chamberí, amante de la política. Cada día moviendo las velas de mi barco para no perder el rumbo. Vocal Vecino GPP Chamberí. Portavoz Adjunto.</t>
  </si>
  <si>
    <t>http://teroland.blogspot.com/</t>
  </si>
  <si>
    <t>Mario Noya 🇪🇸</t>
  </si>
  <si>
    <t>Qué cosas tienen @Pablo_Iglesias_ e @Irene_Montero_, marqueses de Galapagar.</t>
  </si>
  <si>
    <t>https://pbs.twimg.com/media/DsocRUgWoAY_kWK.jpg</t>
  </si>
  <si>
    <t>Director de El Medio. Editor de Opinión en Libertad Digital. Director de LD Libros (esRadio). Jefe de Redacción de La Ilustración Liberal.</t>
  </si>
  <si>
    <t>http://www.libertaddigital.com/opinion/mario-noya/</t>
  </si>
  <si>
    <t>robert refort</t>
  </si>
  <si>
    <t>Con las declaraciones de Pablo Iglesias los Españoles nos damos cuenta de que es un oportunista politico.</t>
  </si>
  <si>
    <t>Andoni Baserrigorri</t>
  </si>
  <si>
    <t>Señor @Pablo_Iglesias_ (porke habrá que tratarte ya de señor...) Al final vas a pasar por la derecha a los monárquicos....</t>
  </si>
  <si>
    <t>https://www.lahaine.org/est_espanol.php/la-bandera-tricolor-y-los</t>
  </si>
  <si>
    <t>https://pbs.twimg.com/media/DsobIQ9XQAATeul.jpg</t>
  </si>
  <si>
    <t>JGM</t>
  </si>
  <si>
    <t>Iglesias no apoyará a Sánchez para "patriotismos extraños" con Gibraltar  El Confidencial</t>
  </si>
  <si>
    <t>https://ift.tt/2R7IVDL</t>
  </si>
  <si>
    <t>#Ilegalizacionpodemos MISERABLES OPORTUNISTAS 😡😡😡@AdaColau @ahorapodemos @pnique @MiguelUrban @ionebelarra @agarzon @Irene_Montero_ @RamonEspinar @MonederoJC @TeresaRodr_ @JM_Kichi @Pablo_Iglesias_ @ierrejon @BeatrizTalegon @iunida @MayoralRafa @Elisendalamany @LaFallaras RT @Nanchinho: 📰 "¿Para qué sirve hoy la monarquía?" Mira @Pablo_Iglesias_, la Monarquía es el principal obstáculo que tenéis tú, Puigdemont y Otegi. Para proteger a los ciudadanos de gente como vosotros sirve hoy la Monarquía. #ParaQuéSirveLaMonarquía</t>
  </si>
  <si>
    <t>https://twitter.com/Nanchinho/status/1065533851752116224
https://elpais.com/elpais/2018/11/21/opinion/1542806031_921444.html</t>
  </si>
  <si>
    <t>La vida es un gran viaje para encontrarse a uno mismo, y debemos hacerlo con la mayor ilusión posible.</t>
  </si>
  <si>
    <t>pablo alves</t>
  </si>
  <si>
    <t>https://okdiario.com/espana/2018/11/23/iglesias-califica-patriotismo-extrano-defender-soberania-gibraltar-3382790#.W_fVYrsi3iM.twitter</t>
  </si>
  <si>
    <t>Milio</t>
  </si>
  <si>
    <t>Qué decepción @ahorapodemos @Pablo_Iglesias_ Por más vueltas que le de, no me entra en la cabeza que se esté en contra de algo así RT @ANNAGONZALEZLO1: ✌🏻 💚 2️⃣7️⃣3️⃣ 🥊 6️⃣4️⃣ 🍋 2️⃣ #PorUnaLeyJusta #vadepersonas</t>
  </si>
  <si>
    <t>https://twitter.com/ANNAGONZALEZLO1/status/1065633366194688000</t>
  </si>
  <si>
    <t>https://pbs.twimg.com/media/Dsnj5ODXoAEq12l.jpg</t>
  </si>
  <si>
    <t>Diplomado en Turismo || Linarense, azulillo, bético, carnavalero, gadita jartible, y apasionado de #Cádiz y #Cazorla 🚵‍♂️🏞️🌅</t>
  </si>
  <si>
    <t>Vivi Herrera</t>
  </si>
  <si>
    <t>Me pregunto si @Pablo_Iglesias_ se parecerá a él mismo (:</t>
  </si>
  <si>
    <t>Comunicóloga política y periodista en stand by. Lo quiero todo y lo quiero ahora. * I guess I just wasn't made for these times</t>
  </si>
  <si>
    <t>SomosLegion</t>
  </si>
  <si>
    <t>En Nuestra Plaza: Para defender a la gente trabajadora del campo de Gibraltar, el Gobierno, tendrá nuestro apoyo, pero "para patriotismos extraños, no". [Pablo Iglesias]</t>
  </si>
  <si>
    <t>#Ilegalizacionpodemos Fueraa @AdaColau @ahorapodemos @AhoraMadrid @pnique @MiguelUrban @ionebelarra @agarzon @Irene_Montero_ @RamonEspinar @MonederoJC @TeresaRodr_ @JM_Kichi @Pablo_Iglesias_ @ierrejon @BeatrizTalegon @iunida @MayoralRafa @Elisendalamany @LaFallaras @carlossmato RT @CastigadorY: En Podemos empiezan a estar nerviosos porque ven venir el batacazo electoral en las próximas elecciones y la fuga de votantes no para de aumentar, la gran parte del país ya os conoce y no engañais a nadie, España nunca ha consentido ni consentirá tener un gobierno comunista.</t>
  </si>
  <si>
    <t>https://ift.tt/2PNf2Mv</t>
  </si>
  <si>
    <t>https://twitter.com/CastigadorY/status/1065662967964938242</t>
  </si>
  <si>
    <t>Juan A.</t>
  </si>
  <si>
    <t>#AznarIsComing aquellos que ven el pasado de Aznar en la figura de Pablo Casado deberían de pensar en lo que representa Coleta Morada, es decir, Pablo Iglesias. Lenin? Stalin? Da bastante más miedo volver 100 años atrás que lo ocurrido durante el gobierno de Aznar</t>
  </si>
  <si>
    <t>Cindy Espina</t>
  </si>
  <si>
    <t>Yo soy populista como @Pablo_Iglesias_, según @guardian</t>
  </si>
  <si>
    <t>https://pbs.twimg.com/media/DsoWKCCVsAAGK1m.jpg</t>
  </si>
  <si>
    <t>Guatemala</t>
  </si>
  <si>
    <t>Esta es la cuenta personal de una periodista centroamericana, que nació en un municipio del oriente de Guatemala. Las opiniones son personales.</t>
  </si>
  <si>
    <t>https://www.plazapublica.com.gt/content/la-ciudad-de-el-adelantado-es-un-pueblo-fronterizo</t>
  </si>
  <si>
    <t>Roberto Alcazar</t>
  </si>
  <si>
    <t>Yo creo que donde mejor estaría el Coletas, alias el Cheposo -que es como le llaman en la Universidad- es en Venezuela, cogidito de la mano de su amigo el Gorila @NicolasMaduro, puesto que tanto le gusta la República y tan poco la Monarquía. ¡Lárgate, Cheposo! @Pablo_Iglesias_ RT @Pili130373: El País brinda una tribuna a Iglesias para atacar a la monarquía. Y para que sirves tu Chepas?😒 Quieres gobernar un país al que odias, llevarlo a una dictadura chavista bolivariana.🤮 Largate si no te gusta ESPAÑA!! 🙋🏼‍♀️ V.E.R.D.E 👑 VIVA ESPAÑA 🇪🇸🇪🇸🇪🇸🇪🇸</t>
  </si>
  <si>
    <t>https://twitter.com/Pili130373/status/1065614043732500480
https://www.libertaddigital.com/espana/2018-11-22/iglesias-utiliza-el-pais-para-atacar-a-la-monarquia-una-nueva-republica-sera-la-mejor-garantia-para-una-espana-unida-1276628644/</t>
  </si>
  <si>
    <t>Políticos Podemitas y Secesionistas me BLOQUEAN. ¡Qué poco les gusta a estos FASCISTAS las críticas! Si REBUZNAN, buena señal, voy bien. Seguiremos informando.</t>
  </si>
  <si>
    <t>Referéndum UAM</t>
  </si>
  <si>
    <t>El artículo de hoy de @Pablo_Iglesias_ "¿Para qué sirve hoy la monarquía?" es una muestra más de que el debate sobre esta institución se ha instalado en nuestra sociedad. Nosotras seguimos avanzando, porque queremos decidirlo TODO.</t>
  </si>
  <si>
    <t>Este 29N convocamos en la UAM referéndum sobre la monarquía. No estamos dispuestxs a heredar este régimen impuesto. ¡Ya es hora de que podamos decidirlo todo! ✊</t>
  </si>
  <si>
    <t>Más comentados ahora en Derecha/Centro Dcha.: ➀ @Alvisepf ↓ ➁ @sanchezcastejon ↓ ➂ @jitorreblanca ↓ ➃ @ldpsincomplejos ↑ ➄ @JosepBorrellF ↑ ➅ @PSOE ↓ ➆ @Desayunos_tve ↓ ➇ @Pablo_Iglesias_ ↓ ➈ @agarzon ↓</t>
  </si>
  <si>
    <t>ECEspaña</t>
  </si>
  <si>
    <t>https://www.elconfidencial.com/espana/2018-11-23/brexit-gibraltar-pablo-iglesias-pedro-sanchez-patriotismo_1664358/?utm_source=twitter&amp;utm_medium=social&amp;utm_campaign=NacionalDiarioAutomatico</t>
  </si>
  <si>
    <t>Sección de Nacional de @elconfidencial. Investigación, política y tribunales.</t>
  </si>
  <si>
    <t>http://elconfidencial.com</t>
  </si>
  <si>
    <t>Luis Coronado 🇻🇪</t>
  </si>
  <si>
    <t>Entre las diferencias que puedan existir entre #Venezuela🇻🇪 y #España🇪🇸, considero que el sistema político partidista venezolano debe adoptar el sistema de ese país, para así tener una verdadera pluralidad y alternabilidad en lo político @Pablo_Iglesias_</t>
  </si>
  <si>
    <t>¡Radicalmente chavista, antiimperialista, luchador social, revolucionario y activo con la #Tropa!🇻🇪</t>
  </si>
  <si>
    <t>RAMACABICI</t>
  </si>
  <si>
    <t>Hola @ahorapodemos @Pablo_Iglesias_ hoy dirmireis tranquilos? Yo al menos la "conciencia" no la tendría muy "tranquila"👎 RT @Josehermida: Y aun siendo un día de alegría y agradecimientos a @ANNAGONZALEZLO1 ..no olvidemos los puntitos rojos que han votado en contra de la Ley que endurece condenas,a atropellos y fugas .... Quien son?</t>
  </si>
  <si>
    <t>https://twitter.com/Josehermida/status/1065670202342498304</t>
  </si>
  <si>
    <t>https://pbs.twimg.com/media/DsoFZMfXoAE3aaJ.jpg</t>
  </si>
  <si>
    <t>NOTICIAS_ES</t>
  </si>
  <si>
    <t>El Confidencial - Iglesias no apoyará a Sánchez para "patriotismos extraños" con Gibraltar</t>
  </si>
  <si>
    <t>Parets del Vallès</t>
  </si>
  <si>
    <t>Algú va dir que és bo tot el que es fa desitjar -Coll de Pradell- cuando un puerto, una montaña puede ser mucho más que solo eso.</t>
  </si>
  <si>
    <t>http://www.ramacabici.com</t>
  </si>
  <si>
    <t>MA</t>
  </si>
  <si>
    <t>Hola @Pablo_Iglesias_ y @pnique porque vuestro partido ha votado en contra de endurecer la ley en favor de los ciclistas?? Decís que sois muy verdes, que hay que coger la bicicleta...pero a la hora de la verdad.... PODÉIS desaparecer.</t>
  </si>
  <si>
    <t>Jesús Niño Arribas</t>
  </si>
  <si>
    <t>Sr. Pablo Iglesias se hace la pregunta:"¿Para qué sirve hoy la monarquía? Responda antes ¿Para qué sirve Podemos? ¿Qué aporta su partido a la sociedad española? La república( como forma de organización del Estado ) no es patrimonio de la izquierda o de la izquierda radical.</t>
  </si>
  <si>
    <t>Chicago</t>
  </si>
  <si>
    <t>Finance &amp; Controlling. MBA</t>
  </si>
  <si>
    <t xml:space="preserve">Barcelona </t>
  </si>
  <si>
    <t>Cogeces del Monte, Sopeña de Curueño, Cerdanyola del Vallès,..</t>
  </si>
  <si>
    <t>http://blogdetiempo.blogspot.com</t>
  </si>
  <si>
    <t>JAVIER JUAN TUR</t>
  </si>
  <si>
    <t>#SiSePuede Carmena presenta su plataforma #MásMadrid y retoma el diálogo con #Podemos para la candidatura de 2019. Pablo Iglesias confirma que la clave para que Carmena gane es "sumar a todas las piezas y no dejar ninguna fuera".</t>
  </si>
  <si>
    <t>Ve q se les desmonta el PLAN q tanto trabajo costò trazar. Hasta consiguieron q @Pablo_Iglesias_ se humillase ante Sanchez para lograrlo. Recuerdan aquellas reuniones con los podemitas e indepes de este y de su jefe el millonetis? Pues si... se les está desmontando por momentos RT @AlfonsoRojoPD: Ferreras ya no se esconde y ejerce de jefe de prensa de Sánchez mientras ataca brutalmente al Partido Popular</t>
  </si>
  <si>
    <t>https://www.eldiario.es/politica/Pablo-Iglesias-ingredientes-Manuela-alcaldesa_0_838866183.html</t>
  </si>
  <si>
    <t>https://pbs.twimg.com/media/Dsrh_LsXQAADtKR.jpg</t>
  </si>
  <si>
    <t>https://twitter.com/AlfonsoRojoPD/status/1065646748805341185
https://www.periodistadigital.com/periodismo/tv/2018/11/22/ferreras-jefe-de-prensa-pedro-sanchez-rafa-hernando-gobierno-pp-borrell.shtml</t>
  </si>
  <si>
    <t>REVOLUCIONARIO, ANTISISTEMA, CIUDADANO LIBRE.</t>
  </si>
  <si>
    <t>Juan</t>
  </si>
  <si>
    <t>Qué asquito de @ahorapodemos @Pablo_Iglesias_ @MonederoJC @ierrejon @pnique @agarzon RT @cristiancrespoj: Qué tristeza! Uno siente estas ahogadas palabras de este estudiante venezolano. El Narcorégimen sigue destruyendo el futuro de #Venezuela, a los jóvenes y sus sueños. Y lo sigue haciendo porque es lo que quieren, destruir, hasta que no quede más que un país de muertos vivientes..</t>
  </si>
  <si>
    <t>https://twitter.com/cristiancrespoj/status/1065325789678366720</t>
  </si>
  <si>
    <t>pic.twitter.com/QkPEl6xrvQ</t>
  </si>
  <si>
    <t>La sonrisa es universal ☕🍺🎶... Excepto para los imbéciles sectarios.</t>
  </si>
  <si>
    <t>https://youtu.be/QFj42skgk1c</t>
  </si>
  <si>
    <t>#Gueguenselibre</t>
  </si>
  <si>
    <t>Somos la izquierda victoriosa y lo seguiremos siendo  siendo/ @ThegreatWyoming @El_Intermedio@Pablo_Iglesias @MonederoJC</t>
  </si>
  <si>
    <t>Diego</t>
  </si>
  <si>
    <t>Que tiemble @Pablo_Iglesias_ xD. Ojalá yo en política algún día. Creo sinceramente que podría hacer un buen trabajo.</t>
  </si>
  <si>
    <t>http://barricada.com.ni/somos-la-izquierda-victoriosa-y-lo-seguiremos</t>
  </si>
  <si>
    <t>https://pbs.twimg.com/media/DsoIAcYWkAEzbAj.jpg</t>
  </si>
  <si>
    <t>Luchador por la libertad de expresión ,en contra de todo tipo de #terrorismo, #amante de la paz y la#libertad, hay que terminar contra todo tipo de Injusticia.</t>
  </si>
  <si>
    <t>Segovia</t>
  </si>
  <si>
    <t>Ex-Twittero. Diego, gallu, tú podrías ser cantante si no fuera por la voz. #TelecoIsSparta</t>
  </si>
  <si>
    <t>http://unmundo-pordelante.blogspot.com.es/</t>
  </si>
  <si>
    <t>Charran Español</t>
  </si>
  <si>
    <t>. Albert_Rivera le recuerda a Pablo_Iglesias_ que el Rey saca mejor nota que él en las encuestas  vía ESdiario_com</t>
  </si>
  <si>
    <t>checa</t>
  </si>
  <si>
    <t>Hola @ahorapodemos @Pablo_Iglesias_ @pnique @Irene_Montero_ y demás, vosotros de que vais? En serio votáis en contra de endurecimiento de las penas a los asesinos borrachos y drogados que cada día nos ponen en peligro? Claro que lo vuestro es el "bocachanclismo" #PorUnaLeyJusta</t>
  </si>
  <si>
    <t>https://pbs.twimg.com/media/DsoG3d5WkAcbkkc.jpg</t>
  </si>
  <si>
    <t>Me encanta sobrevolar una España que no sea llevada a la ruina por parte de los partidos de izquierdas.</t>
  </si>
  <si>
    <t>vivir que no es poco</t>
  </si>
  <si>
    <t>Youngstown</t>
  </si>
  <si>
    <t>Hugo Peña Medina</t>
  </si>
  <si>
    <t>Vaya que es en el primer mundo, el de la perfección y la soberbia, en donde todos son incólumes y tolerantes... no puede ser!!! @Pablo_Iglesias_ @PedroSanchezofi @marianorajoy veremos si algo de esto los une. Ojalá la @fape_fape se pronuncie. RT @MichelPesquera: Esta masacre sucede en España... ¿Cuándo vamos a entender que nos estamos terminando el mundo? ¿Porqué no entendemos que todos habitamos este planeta? Tenemos que compartir pacíficamente este espacio que nos tocó compartir!</t>
  </si>
  <si>
    <t>https://twitter.com/michelpesquera/status/1065241714980519936</t>
  </si>
  <si>
    <t>pic.twitter.com/IzUM3vmLJt</t>
  </si>
  <si>
    <t>Comunicador por Guatemala guiado con valor y fe en Dios.</t>
  </si>
  <si>
    <t>Raimundo Clar ن</t>
  </si>
  <si>
    <t>Gran regalo de cumpleaños: @guardian saca un test sobre populismos y me encuentro que lo encabeza este gráfico. @Pablo_Iglesias_ que bien te sienta la extrema izquierda POPULISTA:👇🏽👇🏽</t>
  </si>
  <si>
    <t>https://pbs.twimg.com/media/DsoFmJZXoAIVOuj.jpg</t>
  </si>
  <si>
    <t>Mallorca/Barcelona/Madrid</t>
  </si>
  <si>
    <t>Graduado en Derecho por la Universidad Internacional de Cataluña. Estudiante del Máster de Acceso a la Abogacía con Empresa en el Centro de Estudios Garrigues.</t>
  </si>
  <si>
    <t>josé luis fdez.celis</t>
  </si>
  <si>
    <t>Cambio16</t>
  </si>
  <si>
    <t>El libro de bolsillo que consultó Pablo Iglesias para fundar UGT</t>
  </si>
  <si>
    <t>Pablo Iglesias preguntó a Sánchez cuáles son los planes del Ejecutivo español respecto al destino de la participación del Estado en Bankia, entidad financiera nacionalizada por el Gobierno saliente del PP  @Pablo_Iglesias_ @Bankia @sanchezcastejon</t>
  </si>
  <si>
    <t>http://130aniversariougt.es/libro-bolsillo-pablo-iglesias-para-fundar-ugt/</t>
  </si>
  <si>
    <t>http://ow.ly/6cYl30mIqYp</t>
  </si>
  <si>
    <t>https://pbs.twimg.com/media/DsoFPE0UUAACfsR.jpg</t>
  </si>
  <si>
    <t>ourense</t>
  </si>
  <si>
    <t>Cuenta oficial | Revista y Web Cambio16 | Noticias de actualidad y análisis sobre España y el mundo contadas con contundencia.</t>
  </si>
  <si>
    <t>http://www.cambio16.com</t>
  </si>
  <si>
    <t>F. Prado Alberdi</t>
  </si>
  <si>
    <t>Hermann Tertsch cree que la monarquía sirve "para evitar que sea necesaria una guerra para impedir una dictadura de Pablo Iglesias"  vía @eldiarioes</t>
  </si>
  <si>
    <t>¿La monarquía? Cuando palmó Franco llevabamos 40 años sin rey. ¡Aluciné cuando vi que volvíamos a un régimen medieval! #Monarquía #CaminoDeLaRewública #República #rey #elintermedio #JusticiaPatriarcal @Emma1492is @Pablo_Iglesias_ @JuanyGar63 @Evryali_ANA @RepAndalusi</t>
  </si>
  <si>
    <t>Gijón (Asturias), España</t>
  </si>
  <si>
    <t>Metalúrgico, ahora jubilado. Sindicalista, ahora emérito. Presido una Fundación Cultura de CC. OO. de Asturias.</t>
  </si>
  <si>
    <t>http://pradoalberdi.wordpress.com/</t>
  </si>
  <si>
    <t>Santiago Pastor</t>
  </si>
  <si>
    <t>ciberiaentweet</t>
  </si>
  <si>
    <t>#15M #ParaQueSirveLaMonarquia Para lo mismo que @Pablo_Iglesias_ dicendo no se qué de #PrimariasAbiertas en @ahorapodemos. Mientras @AhoraMadrid lo jode tú #partitocracia, esa que no parece conjugar bien con #democraciaRealYa Más Madrid con menos @ManuelaCarmena Mmm vaya cuajo xD</t>
  </si>
  <si>
    <t>pic.twitter.com/ysSD5vqUGj</t>
  </si>
  <si>
    <t>MADRID Villaverde</t>
  </si>
  <si>
    <t>Las Rozas de Madrid</t>
  </si>
  <si>
    <t>Amor, respeto, verdad Juan Luis González Bazaga en face</t>
  </si>
  <si>
    <t>Estoy hasta el gorro. Menos mal que me queda la ficción. Instagram @spastorm Pinterest spastormartinez</t>
  </si>
  <si>
    <t>http://ciberiaen.wordpress.com</t>
  </si>
  <si>
    <t>EL MUNDO</t>
  </si>
  <si>
    <t>El veredicto de los organismos internacionales sobre los Presupuestos indigna a Pablo Iglesias y les acusa de querer "miseria social" para España.</t>
  </si>
  <si>
    <t>Más comentados ahora en Derecha/Centro Dcha.: ➀ @Alvisepf ↑ ➁ @sanchezcastejon ↑ ➂ @ldpsincomplejos ↓ ➃ @jitorreblanca ↑ ➄ @PSOE ↑ ➅ @Desayunos_tve ➆ @gabrielrufian ↑ ➇ @Pablo_Iglesias_ ↓ ➈ @JosepBorrellF ↓</t>
  </si>
  <si>
    <t>Cuenta oficial de EL MUNDO -YouTube http://bit.ly/2hBbolJ Bruselas se prepara para certificar el divorcio con el Reino Unido. (📷John Thys)</t>
  </si>
  <si>
    <t>http://www.elmundo.es/</t>
  </si>
  <si>
    <t>🔴Pablo Iglesias (Pablo_Iglesias_) carga contra Bruselas y el FMI por desmontar sus Presupuestos: considera que "ofrecen miseria social" a España #SalarioMínimoARV DIRECTO➡</t>
  </si>
  <si>
    <t>ParaMicroBio</t>
  </si>
  <si>
    <t>Pido a @Pablo_Iglesias_ y @PodemosCongreso que aclare ¿La cuenta @ttnn_podemos en redes sociales es suya o están usurpando su identidad? Es un tema muy serio que pone en peligro la salud de la población. Si están usurpando su identidad denúncienlo.  RT @ttnn_podemos: Asamblea ordinaria virtual del Círculo PODEMOS Terapias Naturales Miércoles, 20:30h en Mumble FaceBook:  Twitter:  Canal Telegram:</t>
  </si>
  <si>
    <t>https://okdiario.com/espana/2018/11/22/circulo-podemos-asegura-que-quimioterapia-envenena-pacientes-cancer-3376342#.W_ZoGYNAflA.twitter
https://twitter.com/ttnn_podemos/status/1042145286691409921
https://www.facebook.com/PodemosTerapiasNaturales
https://twitter.com/ttnn_podemos
https://t.me/PTTNN</t>
  </si>
  <si>
    <t>https://pbs.twimg.com/media/DnZwX55XsAEhE2N.jpg</t>
  </si>
  <si>
    <t>Blog divulgación científica / ofertas de trabajo en el ámbito de la parasitología, microbiología y virología en España</t>
  </si>
  <si>
    <t>http://paramicrobio.blogspot.com</t>
  </si>
  <si>
    <t>M. F. Internacional</t>
  </si>
  <si>
    <t>Señores @sanchezcastejon @Pablo_Iglesias_ atención, menos vivir en lujos y más aterrizados a las realidades de España 👇 RT @MichelPesquera: Esta masacre sucede en España... ¿Cuándo vamos a entender que nos estamos terminando el mundo? ¿Porqué no entendemos que todos habitamos este planeta? Tenemos que compartir pacíficamente este espacio que nos tocó compartir!</t>
  </si>
  <si>
    <t>Hasta El Mismisimo</t>
  </si>
  <si>
    <t>casualmente son los mismos jueces encargados de juzgar a la manada, y me gustaría preguntarle a todos esos políticos @susanadiaz @sanchezcastejon @Albert_Rivera @pablocasado_ @anapastorjulian @InesArrimadas @Pablo_Iglesias_ @ierrejon ....que están en campaña ahora para</t>
  </si>
  <si>
    <t>Lorenzo Sentenac</t>
  </si>
  <si>
    <t>Fran</t>
  </si>
  <si>
    <t>Hay que ver estos de la monarquía ¿eh? @Pablo_Iglesias_ , son iguales que tu amigo @sanchezcastejon que para el mismo recorrido de 1 hora en AVE, se lleva su avioncito como si fuera Madonna. #paraquesirvelamonarquía RT @a_degrado: La Reina Letizia viajó el pasado 27 de octubre a Valladolid en AVE. Hoy el presidente Pedro @sanchezcastejon realizará el mismo recorrido (200kms) en Falcon. La casta y tal</t>
  </si>
  <si>
    <t>https://twitter.com/a_degrado/status/1065182391059341312</t>
  </si>
  <si>
    <t>TOLEDO - España</t>
  </si>
  <si>
    <t>https://pbs.twimg.com/media/DshJfahWsAAo_yU.jpg</t>
  </si>
  <si>
    <t>Ateo (gracias a Dios); Panteísta (gracias a Spinoza); Agnóstico, sin duda. Intento no olvidar que desciendo del mono y respiro gracias a un alga verde-azulada.</t>
  </si>
  <si>
    <t>http://percevalles.wordpress.com/</t>
  </si>
  <si>
    <t>RBB 1907</t>
  </si>
  <si>
    <t>Pete Kon</t>
  </si>
  <si>
    <t>Sr. @Pablo_Iglesias_ Me gustaría saber por qué votais en contra RT @ANNAGONZALEZLO1: ✌🏻 💚 2️⃣7️⃣3️⃣ 🥊 6️⃣4️⃣ 🍋 2️⃣ #PorUnaLeyJusta #vadepersonas</t>
  </si>
  <si>
    <t>Vitoria-Gasteiz; Brañosera</t>
  </si>
  <si>
    <t>España calla</t>
  </si>
  <si>
    <t>Nicaragua Digital</t>
  </si>
  <si>
    <t>Esperamos una ronda de sanciones contra el régimen genocida Ortega-Murillo, es una dictadura terrorista y sangrienta! @sanchezcastejon @JosepBorrellF @PSOE @circulopodemos @Pablo_Iglesias_ @ManuelaCarmena @AdaColau @Senadoesp @UNIONEUROPEA @UEmadrid @Europarl_ES @SomosPP RT @Senadoesp: Reanudación del #PlenoSenado con la moción de @PPSenado para que una delegación de senadores se traslade a Nicaragua para entrevistarse con la Alianza Cívica por la Justicia y la Democracia y visitar a las personas detenidas. Directo 📺</t>
  </si>
  <si>
    <t>Castilla La Mancha</t>
  </si>
  <si>
    <t>Castellano-manchega de pura cepa; sanitaria de profesión , luchadora por vocación, últimamente cabreada como todo ciudadano al que este gobierno ha estafado</t>
  </si>
  <si>
    <t>https://twitter.com/Senadoesp/status/1065152921195696128
http://ow.ly/ShxN30mkXAW</t>
  </si>
  <si>
    <t>Nicaragua</t>
  </si>
  <si>
    <t>La Revista Digital de Nicaragua</t>
  </si>
  <si>
    <t>http://www.nicaraguadigital.com</t>
  </si>
  <si>
    <t>Carlos A. Valverde</t>
  </si>
  <si>
    <t>I) @Pablo_Iglesias_ afirma que si España fuera una república tendríamos un mejor país II) Alguien le muestra en datos cómo es una falacia III) @pnique sin leer la crítica completa (sólo primer tweet) se ríe de la misma por falaz #ElNivel RT @pnique: De los creadores de "regalar dinero a los ricos mejora la economía" y "explotar a los trabajadores mejora la economía", llega a Netflix "tener un rey mejora la economía". 😂 Espero ansioso el estreno de la secuela: "la corrupción mejora la economía".</t>
  </si>
  <si>
    <t>https://twitter.com/pnique/status/1065627733399650307
https://twitter.com/jitorreblanca/status/1065620157656109058?s=21</t>
  </si>
  <si>
    <t>Universitary Discourse World Champion '14 | Founder @trainandtalk | Strategic Pitching Consultant at Fortune's 500 @CBRE | Contact: cvalverde@trainandtalk.es</t>
  </si>
  <si>
    <t>https://es.linkedin.com/in/carlosavalverde</t>
  </si>
  <si>
    <t>PodemosCLP</t>
  </si>
  <si>
    <t>La democracia tiene diferentes niveles de profundización y calidad, y que a la jefatura del Estado se acceda por elecciones y no por fecundación sería profundizar en nuestra democracia. Hoy @Pablo_Iglesias_ escribe:  Y participa en</t>
  </si>
  <si>
    <t>https://elpais.com/elpais/2018/11/21/opinion/1542806031_921444.html
http://primarias.podemos.info</t>
  </si>
  <si>
    <t>gigantesca trama golpista  para los seudo izquierda que difaman al Gobierno Sandinista sirviendo de alta voz de los monopolios de la desinformación y del Gobierno Norte Americano Americano@ThegreatWyoming @El_Intermedio @Pablo_Iglesias @MonederoJC</t>
  </si>
  <si>
    <t>https://www.el19digital.com/articulos/ver/titulo:84269-celulares-de-medardo-mairena-y-pedro-mena-develan-gigantesca-trama-golpista</t>
  </si>
  <si>
    <t>Presidencia sigue sin dar datos sobre el viaje en helicóptero de Sánchez a Aldeanueva de Cameros @UEmadrid @CasaReal @sanchezcastejon @pablocasado_ @Pablo_Iglesias_ @Albert_Rivera  vía @lariojacom</t>
  </si>
  <si>
    <t>https://www.larioja.com/la-rioja/sanchez-viajo-boda-20181106205854-nt.html</t>
  </si>
  <si>
    <t>Pepa Bueno me ha hecho una pregunta importante en @HoyPorHoy: "¿Cree que habrá elecciones generales en el primer trimestre de 2019?" 📽 Aquí tenéis mi respuesta 👇🏽</t>
  </si>
  <si>
    <t>https://pbs.twimg.com/media/Dsres0VXQAAWmhs.jpg</t>
  </si>
  <si>
    <t>Manuel#PRISIONES</t>
  </si>
  <si>
    <t>"@Pablo_Iglesias_: Es indecente que Alcoa... Si, lo es. No lo es tambien la privatizacion de las prisiones ?#sosprisiones</t>
  </si>
  <si>
    <t>JUANMA DEL OLMO</t>
  </si>
  <si>
    <t>Un tertuliano en la SER justo después de la entrevista a Pablo Iglesias viene a decir: "no entiendo por qué Podemos cuestiona el papel del Rey, si el Rey no manda ni pinta nada en España". Espero que estuviera refiriéndose al TT de hoy 😂😂 (El Rey León)</t>
  </si>
  <si>
    <t>pic.twitter.com/vQcEWWHmpJ</t>
  </si>
  <si>
    <t>Secretario de Comunicación de Podemos. Diputado en el Congreso. Autor del libro 'La Política por otros medios' http://www.lapoliticaporotrosmedios.es</t>
  </si>
  <si>
    <t>http://www.lapoliticaporotrosmedios.es</t>
  </si>
  <si>
    <t>Europa abre la puerta de Aragón al mar valenciano no al cantábrico? @UEmadrid @CasaReal @sanchezcastejon @Pablo_Iglesias_ @pablocasado_ @Albert_Rivera  vía @periodicoaragon</t>
  </si>
  <si>
    <t>https://www.elperiodicodearagon.com/noticias/aragon/europa-abre-puerta-aragon-mar_1325430.html</t>
  </si>
  <si>
    <t>🇪🇸NACIONAL | Pablo Iglesias se muestra a favor del veto al acuerdo del Brexit UK-UE por parte del Gobierno de España pero "para defender a la gente trabajadora de Gibraltar, no por un patriotismo extraño"</t>
  </si>
  <si>
    <t>https://pbs.twimg.com/media/DsrdnOFWwAAXzls.jpg</t>
  </si>
  <si>
    <t>Arol Nordur</t>
  </si>
  <si>
    <t>- @Pablo_Iglesias_ ni el oportunismo le salva. -Vulgar lameculos. Recordamos el regalo al Preparao; era juego de Tronos ¿Verdad? -Ahora está destrozando el ideal republicano. -Ha vendido la III República por un plato de lentejas: su ascenso entre la casta.</t>
  </si>
  <si>
    <t>Policia Local</t>
  </si>
  <si>
    <t>Ayer atendimos un accidente en la confluencia de las calles General Emilio Herrera con Pablo Iglesias. Además de daños materiales, una de la accidentadas resultó herida con rotura en una mano. Toda precaución al volante es poca. Deseamos la pronta recuperación de la afectada.</t>
  </si>
  <si>
    <t>https://pbs.twimg.com/media/DspNRovXcAAee1B.jpg</t>
  </si>
  <si>
    <t>Granada</t>
  </si>
  <si>
    <t>🛂 Perfil Oficial de la Policia Local de Santa Fe. Este canal no atiende denuncias, en caso de URGENCIA o EMERGENCIA llame al ☎ 958 44 22 14</t>
  </si>
  <si>
    <t>http://www.santafe.es</t>
  </si>
  <si>
    <t>UGT</t>
  </si>
  <si>
    <t>El libro de bolsillo que consultó Pablo Iglesias para fundar UGT #130AniversarioUGT</t>
  </si>
  <si>
    <t>Paula rojilla.</t>
  </si>
  <si>
    <t>Ojalá @Pablo_Iglesias_ me contestase a un comentario, mira fangirlearía demasiado. Uy, se me ha visto lo roja🤭</t>
  </si>
  <si>
    <t>UGT es una confederación sindical constituida en 1888, progresista, comprometida, reivindicativa, democrática e independiente. https://www.facebook.com/ugt.es</t>
  </si>
  <si>
    <t>http://www.ugt.es</t>
  </si>
  <si>
    <t>Orihuela, España</t>
  </si>
  <si>
    <t>Casi tan empanada como yo</t>
  </si>
  <si>
    <t>ROBERT LUKMAN</t>
  </si>
  <si>
    <t>Para que luego no veais los problemas de Pablo Iglesias :):)</t>
  </si>
  <si>
    <t>Antonio Julio ® 🇪🇸</t>
  </si>
  <si>
    <t>Como siempre @ahorapodemos dando la nota. Que inútiles sois @Pablo_Iglesias_ RT @elchiringuitotv: 🚨El PARLAMENTO aprueba la REFORMA del CÓDIGO PENAL para ENDURECER las SANCIONES por ATROPELLOS a los CICLISTAS. #PorUnaLeyJusta</t>
  </si>
  <si>
    <t>https://twitter.com/elchiringuitotv/status/1065653963301810176</t>
  </si>
  <si>
    <t>https://pbs.twimg.com/media/Dsn2lrCWsAET_W7.jpg</t>
  </si>
  <si>
    <t>https://www.facebook.com/100003557728224/posts/1917172921744613/</t>
  </si>
  <si>
    <t>Granaino, casi ná!  - ESPAÑA</t>
  </si>
  <si>
    <t>El dolor es temporal, el orgullo para siempre. bienvenidos a mi mundo 2.0. El🏋🏾‍♂️como forma de vida. Instagram: antoniojulio79</t>
  </si>
  <si>
    <t>Madrid-SPAIN</t>
  </si>
  <si>
    <t>Limousine Service &amp; Desks for Star-ups</t>
  </si>
  <si>
    <t>https://www.vizify.com/robertlukman#_=_</t>
  </si>
  <si>
    <t>Hablando con mis hijos sobre ciberseguridad después de ver en el cine y con la excusa de Ready Player One @CasaReal @UEmadrid @sanchezcastejon @Pablo_Iglesias_ @pablocasado_ @Albert_Rivera  vía @angelgavin</t>
  </si>
  <si>
    <t>https://www.elmiracielos.com/miscelanea/ciberseguridad-ready-player-one/</t>
  </si>
  <si>
    <t>Verónica G. Portillo</t>
  </si>
  <si>
    <t>Cuánto odio y cuánta envidia a @Pablo_Iglesias_ RT @seoane_pedro: @Nosoydelamasa @mariolinalina @jitorreblanca @Pablo_Iglesias_ @agarzon A ver fachamonguer, ahora que eres asesor inmobiliario de idealista ó fotocasa. ,</t>
  </si>
  <si>
    <t>https://twitter.com/seoane_pedro/status/1065643843784196097</t>
  </si>
  <si>
    <t>https://pbs.twimg.com/media/DsntbMTWsAE3A2P.jpg</t>
  </si>
  <si>
    <t>Médico, articulista y editora</t>
  </si>
  <si>
    <t>Anonymous República 🎗️</t>
  </si>
  <si>
    <t>&gt;&amp;gt; @ahorapodemos ¿La democracia de dar a elegir como cabeza de lista a Julio Rodríguez o Julio Rodríguez es una broma o lo de meterle con calzador es la única opción de darle un trabajo pagado por lo votantes? Verás, @pnique y @Pablo_Iglesias_ , yo quería votar a @Rita_Maestre</t>
  </si>
  <si>
    <t>https://pbs.twimg.com/media/Dsn3PgeWoAIziRo.jpg</t>
  </si>
  <si>
    <t>Por la naturaleza de Anonymous no existen cuentas oficiales. Esta es una cuenta de otro anónimo en español. We do not forgive. We do not forget. Expect us!</t>
  </si>
  <si>
    <t>http://anonymousespanol.blogspot.com.es</t>
  </si>
  <si>
    <t>Pablo Iglesias y la condición social de la mujer #130AniversarioUGT</t>
  </si>
  <si>
    <t>http://130aniversariougt.es/pablo-iglesias-condicion-social-mujer/</t>
  </si>
  <si>
    <t>Maby Cabrera Sevilla</t>
  </si>
  <si>
    <t>.@Pablo_Iglesias_ reflexiona sobre #ParaQuéSirveLaMonarquía, una institución caduca, antidemocrática y que no está a la altura de la gente de nuestro país. Os recomiendo su lectura en  Participad votando en  hasta este domingo!</t>
  </si>
  <si>
    <t>https://elpais.com/elpais/2018/11/21/opinion/1542806031_921444.html
http://participa.podemos.info</t>
  </si>
  <si>
    <t>Secretaria de Organización en @podemosmad, en Ahora Madrid. Vallekana por el cambio!</t>
  </si>
  <si>
    <t>El Plural</t>
  </si>
  <si>
    <t>El líder de Podemos considera que el Gobierno debería trabajar más para que se aprueben los Presupuestos. Lo cuenta @NaxoCaballero27</t>
  </si>
  <si>
    <t>https://www.elplural.com/politica/pablo-iglesias-adelanto-elecciones-generales-en-el-primer-trimestre-de-2019_206876102</t>
  </si>
  <si>
    <t>Alejandro C.</t>
  </si>
  <si>
    <t>Soy ciclista y los partidos que mas me representa son @ahorapodemos y @iunida pero: Alguno me explica: ¿por qué habéis votado en contra de esta ley? @Pablo_Iglesias_ @pnique @agarzon @Julio_Rodr_ @Irene_Montero_ @ierrejon @DcaValle #PorUnaLeyJusta #vadepersonas #amolabicicleta</t>
  </si>
  <si>
    <t>https://pbs.twimg.com/media/Dsn24l8VYAEZEUD.jpg</t>
  </si>
  <si>
    <t>La actualidad #política que estabas buscando. ¡Bienvenido a #ElPlural! También estamos en Facebook: https://es-es.facebook.com/elpluralcom/</t>
  </si>
  <si>
    <t>http://www.elplural.com</t>
  </si>
  <si>
    <t>Aficionado a el deporte, y a la vida, vive y deja vivir</t>
  </si>
  <si>
    <t>Wise Colours</t>
  </si>
  <si>
    <t>Holis @Pablo_Iglesias_, @ahorapodemos. ¿No os avergüenza NI UN POQUITO? Una miajita, un pelín, ¿nada? Espero que no tengáis que vivir este tipo de situaciones, farsantes. RT @ANNAGONZALEZLO1: ✌🏻 💚 2️⃣7️⃣3️⃣ 🥊 6️⃣4️⃣ 🍋 2️⃣ #PorUnaLeyJusta #vadepersonas</t>
  </si>
  <si>
    <t>Valesia</t>
  </si>
  <si>
    <t>Pablo Iglesias renuncia a plantar cara a Manuela Carmena en Madrid.  vía @HoyporHoy</t>
  </si>
  <si>
    <t>~el sonido de mi cuerpo chocando seco contra el suelo y mi cabeza al desgajarse se pregunta ¿tendré los ojos ya cerrados o aún abiertos? Antes que despiertes...</t>
  </si>
  <si>
    <t>Encuentro la televisión muy educativa. Cada vez que alguien la enciende, me retiro a otra habitación y leo un libro</t>
  </si>
  <si>
    <t>Más comentados ahora en Derecha/Centro Dcha.: ➀ @Alvisepf ↓ ➁ @sanchezcastejon ↑ ➂ @jitorreblanca ↓ ➃ @PSOE ↓ ➄ @ldpsincomplejos ↑ ➅ @Desayunos_tve ↓ ➆ @JosepBorrellF ↑ ➇ @agarzon ↑ ➈ @Pablo_Iglesias_ ↑ ➉ @PPopular ↑</t>
  </si>
  <si>
    <t>Jose M. Romarís 📚'🌊'🏳️‍🌈🐣</t>
  </si>
  <si>
    <t>Hay gente tarada, gente muy tarada y luego gente como Hermann Tertsch: "Hermann Tertsch cree que la monarquía sirve 'para evitar que sea necesaria una guerra para impedir una dictadura de Pablo Iglesias'"</t>
  </si>
  <si>
    <t>https://m.eldiario.es/rastreador/Hermann-Tertsch-monarquia-Pablo-Iglesias_6_838576136.html</t>
  </si>
  <si>
    <t>Esteve Vallmajor Diez de Andino</t>
  </si>
  <si>
    <t>“Una nueva república será la mejor garantía para una España unida sobre la base del respeto y la libre decisión de sus pueblos y sus gentes.” Hoy hay que leer a @Pablo_Iglesias_ en el @el_pais .</t>
  </si>
  <si>
    <t>Noia, España</t>
  </si>
  <si>
    <t>Filólogo inglés, traductor, 'mariscador' y granjero. Non son Castelao, eu só fago o que podo. Visc a un món paral·lel. Well done is better than well said.</t>
  </si>
  <si>
    <t>https://pbs.twimg.com/media/Dsn0cXlWsAA0pSk.jpg</t>
  </si>
  <si>
    <t>Alberto C. 🇪🇺</t>
  </si>
  <si>
    <t>Cuestionar así y ahora la forma de gobierno, en unos momentos en los que los ataques a la estructura del estado son tan insistentes, no sé si contribuye mucho a su estabilidad. Tribuna | ¿Para qué sirve hoy la monarquía?; por Pablo Iglesias  vía @el_pais</t>
  </si>
  <si>
    <t>Mataró</t>
  </si>
  <si>
    <t>Lope de Aguirre, tu mínimo vasallo, cristiano viejo, de medianos padres, hijodalgo, natural vascongado, en el reino de España, en la villa de Oñate vecino...</t>
  </si>
  <si>
    <t>pedro garcia jimenez</t>
  </si>
  <si>
    <t>En qué sitio mejor que en mi barrio, no te pierdas el acto de @AdelanteAND en la Fuensanta, vamos a ganar Andalucía, ven a escuchar a @Pablo_Iglesias_ @agarzon @MailloAntonio @AnaNaranjoS @TeresaRodr_ en el #14010 @Adelante_COR</t>
  </si>
  <si>
    <t>https://pbs.twimg.com/media/Dsnyo0cW0AA5J_Y.jpg</t>
  </si>
  <si>
    <t>Licenciado en Historia, Cordobés, Coordinador Provincial de IU-Córdoba, Teniente de Alcalde del Ayuntamiento de Córdoba, Cordobesista y peñista de Cordobamania</t>
  </si>
  <si>
    <t>Madrid Informer</t>
  </si>
  <si>
    <t>Pablo Iglesias renuncia a plantar cara a Manuela Carmena en Madrid – Madrid Video</t>
  </si>
  <si>
    <t>maria gonzalez</t>
  </si>
  <si>
    <t>.@Caninator .@agarzon .@Pablo_Iglesias_ .@ierrejon .@pnique .@ActualidadRT Reconoce que los medios de comunicación son el principal partido político de un país. Si el gobierno es de izquierda son los fascistas de la oposición y si es de derecha o son alcahuetes del gobierno</t>
  </si>
  <si>
    <t>http://www.youtube.com/watch?feature=player_embedded&amp;v=S_-_Mt4WHfo
https://madridinformer.com/95590/pablo-iglesias-renuncia-a-plantar-cara-a-manuela-carmena-en-madrid-madrid-video/</t>
  </si>
  <si>
    <t>Local Madrid News and Spain updates from A - Z, that's what you get from us.</t>
  </si>
  <si>
    <t>http://madridinformer.com</t>
  </si>
  <si>
    <t>https://pbs.twimg.com/media/DsnxvEwU4AAfyDj.jpg</t>
  </si>
  <si>
    <t>Donde calienta el sol</t>
  </si>
  <si>
    <t>Patriota experta en finanzas petroleras y economia d la incertidumbre</t>
  </si>
  <si>
    <t>http://www.finanzas.com</t>
  </si>
  <si>
    <t>Iván</t>
  </si>
  <si>
    <t>A Pablo Iglesias hay que decirle que ya sabemos que no va a apoyar nada que favorezca los intereses de España, pero que se corte un poco. Que España saque un buen acuerdo con Gibraltar, significa mucho trabajo para muchos españoles en el sur. Que parece tonto, coño.</t>
  </si>
  <si>
    <t>Ismael Garcia</t>
  </si>
  <si>
    <t>España es una democracia moderna @Pablo_Iglesias_ ,...fíjate si es moderna, que hay quien está en plena lucha contra el capitalismo defendiendo al proletariado, y a la vez vive como un burgués en un chalet de 650.000 €. RT @Pablo_Iglesias_: España debe terminar de convertirse en una democracia moderna. Una nueva república será la mejor garantía para una España unida sobre la base del respeto y la libre decisión de sus pueblos y sus gentes. #ParaQuéSirveLaMonarquía.</t>
  </si>
  <si>
    <t>https://twitter.com/Pablo_Iglesias_/status/1065504288393306112
https://elpais.com/elpais/2018/11/21/opinion/1542806031_921444.html</t>
  </si>
  <si>
    <t>Politólogo; apasionado de la Historia y amante de la lectura y del deporte. Hablo de política en mi web: http://elagoradeivan.es</t>
  </si>
  <si>
    <t>https://elagoradeivan.es</t>
  </si>
  <si>
    <t>#LaEspañaVIVA</t>
  </si>
  <si>
    <t>¡Hola @pablocasado_!!! ¿Sabes ya qué día va a anunciar @sanchezcastejon la aplicación del 155 para dar paso a la convocatoria de elecciones generales que le harán presidente según lo pactado con @CiudadanosCs ? 😏 Creo que hasta @Pablo_Iglesias_ tiene mejor información que tú.</t>
  </si>
  <si>
    <t>pacocubel</t>
  </si>
  <si>
    <t>"Ya no viene nadie", dice apesadumbrado frente a la puerta de su comercio"¿Ni en el #blackfriday2018?" le pregunto para animarle."No, hablo de ventas. En los círculos de podemos no hay ni sunday, ni monday, ni week", me responde mientras lee este enlace</t>
  </si>
  <si>
    <t>Hay un camino a la DERECHA</t>
  </si>
  <si>
    <t>#VOX Liberal Conservador Católico #VOX Mi equipo tiene 13 Copas de Europa, ¿y el tuyo? #EleccionesYA #ProvidaApesarDelPP</t>
  </si>
  <si>
    <t>https://www.elconfidencial.com/espana/2018-11-18/desencanto-podemos-circulos-pablo-iglesias-carmena_1653050/</t>
  </si>
  <si>
    <t>pic.twitter.com/jMj0Cn5LwZ</t>
  </si>
  <si>
    <t>Cambiemos El Palmar</t>
  </si>
  <si>
    <t>Curioso pésame de @magdalenacarnic a los 4 fallecidos en Jaén. Solo te deseamos que no tengas que pasar por lo mismo, votes a quien votes. @TeresaRodr_ @Pablo_Iglesias_ @agarzon</t>
  </si>
  <si>
    <t>zaragoza</t>
  </si>
  <si>
    <t>Como diría aquel : "Un pobrecito tuiteador" 🔶🔴🔶🔴🔶🔴🔶🔴🔶</t>
  </si>
  <si>
    <t>https://pbs.twimg.com/media/DsntmB3XoAEublo.jpg</t>
  </si>
  <si>
    <t>Vocalía de Medio Ambiente, Juventud y Cultura en la junta municipal de El Palmar</t>
  </si>
  <si>
    <t>http://cambiemosmurcia.org</t>
  </si>
  <si>
    <t>virpb</t>
  </si>
  <si>
    <t>Pablo Iglesias no apoyará a Sánchez para "patriotismos extraños" con Gibraltar.</t>
  </si>
  <si>
    <t>https://pbs.twimg.com/media/DsrYo2OXoAAEv02.jpg</t>
  </si>
  <si>
    <t>Público</t>
  </si>
  <si>
    <t>Para Cristina Fallarás es imprescindible narrar las cosas para que un grupo de la población pueda identificarse y pueda crearse un grupo que luche conjuntamente. Mañana @Pablo_Iglesias_ entrevista a @LaFallaras en #OVTFallarás a las 18:00 h. Síguelo en .</t>
  </si>
  <si>
    <t>Outlier</t>
  </si>
  <si>
    <t>http://www.publico.es</t>
  </si>
  <si>
    <t>https://pbs.twimg.com/media/DsntiKYU0AEDRrG.jpg</t>
  </si>
  <si>
    <t>AnarcoCap</t>
  </si>
  <si>
    <t>Pablo Iglesias ha causado tropecientos muertos tan solo en hoy en Israel</t>
  </si>
  <si>
    <t>Twitter oficial del Diario Público. @Memoria_Publica @TodasPublico @pub_sinmordazas @yoanimal_p @tremending</t>
  </si>
  <si>
    <t>Anarcocapitalismo es libertad, y si no opinas lo mismo ve a preguntar a un niño de Bangladesh!</t>
  </si>
  <si>
    <t>chiscas</t>
  </si>
  <si>
    <t>Dedicado a gabrielrufian @JosepBorrellF @JoanTarda @sanchezcastejon @Pablo_Iglesias_ @pablocasado_ @Albert_Rivera, por aquello de otras perspectivas cuando se tiene otra altura de miras</t>
  </si>
  <si>
    <t>https://pbs.twimg.com/media/Dsnter6WwAIW7Sk.jpg</t>
  </si>
  <si>
    <t>42.970347,-8.415808</t>
  </si>
  <si>
    <t>Desde que naces te cuentan cómo es el mundo y cómo tienes que ser. El resto de la vida te la pasas desenredando, tratando de ser como crees que debes ser, LIBRE</t>
  </si>
  <si>
    <t>Joan Rangel Tarrés</t>
  </si>
  <si>
    <t>Hay una gran diferencia entre Pablo Iglesias y Gabriel Rufián. Las palabras que a veces escupe Iglesias son la inflamación de una reflexión política, en Rufián son las cenizas de una fanfarronería; @emmariverola</t>
  </si>
  <si>
    <t>guillem martínez</t>
  </si>
  <si>
    <t>Más consecuencias del discurso yuyu del rey del 3-O: aggiornamento de la agenda republicana. By @Pablo_Iglesias_ : Tribuna | ¿Para qué sirve hoy la monarquía?  vía @el_pais</t>
  </si>
  <si>
    <t>https://www.elperiodico.com/es/opinion/20181122/articulo-opinion-emma-riverola-las-cenizas-de-rufian-7162317?utm_source=facebook&amp;utm_medium=social</t>
  </si>
  <si>
    <t>Caldes d'Estrac</t>
  </si>
  <si>
    <t>Observant el que passa al meu voltant</t>
  </si>
  <si>
    <t>BCN</t>
  </si>
  <si>
    <t>Periodisto. En @ctxt_es, un lujo periodístico por aquí abajo, diría. Mi canal: https://telegram.me/martinezpower</t>
  </si>
  <si>
    <t>MasBy</t>
  </si>
  <si>
    <t>la izquierda está formada solo por dos tipos de personas: los imbéciles –la masa zurdosa- y los que pretenden vivir de los imbéciles –Pablo Iglesias y su mansión-. #Masby ►  vía @Masby1</t>
  </si>
  <si>
    <t>http://www.masby.net/informacion-web.html</t>
  </si>
  <si>
    <t>Víctor Arrogante ✊🔴</t>
  </si>
  <si>
    <t>"España debe terminar de convertirse en una democracia moderna. Una nueva república será la mejor garantía para una España unida sobre la base del respeto y la libre decisión de sus pueblos y su gente." #ParaQueSirveLaMonarquia @Pablo_Iglesias_</t>
  </si>
  <si>
    <t>Masby es un proyecto para sumar todos los grupos y ciudadanos que defiendan los tres pilares básicos de un país: Unidad de España, libertad y educación libre</t>
  </si>
  <si>
    <t>http://www.masby.net/</t>
  </si>
  <si>
    <t>Profesor. Ayer y hoy militante por la justicia, la igualdad y la solidaridad. Inmediatamente me di cuenta que era algo por lo que merecía la pena luchar</t>
  </si>
  <si>
    <t>Pablo Ayuso</t>
  </si>
  <si>
    <t>http://www.multiforo.eu</t>
  </si>
  <si>
    <t>"Pablo Mezquitas" en vez de Pablo Iglesias. Santiago Abascal como político no vale, pero como humorista tampoco RT @Santi_ABASCAL: ¿Que para qué sirve la Monarquía? Para que alguien como tú, Pablo Mezquitas, devorado por el odio y la ambición, e impulsado por los irresponsables oligarcas de El País, no alcance nunca la jefatura del Estado. Solo por eso, ¡Viva el Rey!</t>
  </si>
  <si>
    <t>https://twitter.com/Santi_ABASCAL/status/1065577842447212544
https://elpais.com/elpais/2018/11/21/opinion/1542806031_921444.html</t>
  </si>
  <si>
    <t>Ya no hay arte I can feel it</t>
  </si>
  <si>
    <t>Beatriz Herranz</t>
  </si>
  <si>
    <t>Hoy @Pablo_Iglesias_ escribe en @elpais_espana sobre #ParaQueSirveLaMonarquia El impulso constituyente del 15M y empuja hoy el movimiento feminista, apunta en la dirección republicana: instituciones q protejan a la gente antes que figuras de autoridad</t>
  </si>
  <si>
    <t>Conmigo ♀</t>
  </si>
  <si>
    <t>Doctora en Comunicación Audiovisual. Feminista, Consejera Ciudadana y responsable del área de feminismos en @podemosmad. Partisana.</t>
  </si>
  <si>
    <t>http://Instagram.com/beaherranz_</t>
  </si>
  <si>
    <t>Wiwi</t>
  </si>
  <si>
    <t>Este tuit 👇🏻👇🏻 @ahorapodemos @agarzon y todos los chupaculos de @Pablo_Iglesias_ RT @jitorreblanca: Estimados @Pablo_Iglesias_ y @agarzon Entre los 20 países más ricos, democráticos y desarrollados del mundo hay 12 que tienen un monarca como jefe de estado. Y los 20 países más pobres del mundo y con peor índice de desarrollo humano son todos repúblicas.</t>
  </si>
  <si>
    <t>LexTresAbogados</t>
  </si>
  <si>
    <t>. Pablo_Iglesias_ no apoyará a Pedro sanchezcastejon para "patriotismos extraños" con #Gibraltar  #Brexit</t>
  </si>
  <si>
    <t>https://pbs.twimg.com/media/DsrVhPBXcAA2he9.jpg</t>
  </si>
  <si>
    <t>Pero que me estas contando!!?? El que me toque la moral lo bloqueo. Enga 🙋‍♂️taluego</t>
  </si>
  <si>
    <t>#LexTresAbogados prestamos: #servicios de #auditoría #asesoramiento #legal #fiscal #Laboral #financiero y de #negocio con una clara #focalización #sectorial</t>
  </si>
  <si>
    <t>http://www.lextres.com</t>
  </si>
  <si>
    <t>¿Para qué sirve hoy la monarquía?. Por @Pablo_Iglesias_ en @el_pais</t>
  </si>
  <si>
    <t>EFEnoticias España</t>
  </si>
  <si>
    <t>Pablo Iglesias dice a Pedro Sánchez que para defender a la gente trabajadora del campo de Gibraltar tendrá su apoyo pero "para patriotismos extraños, no"</t>
  </si>
  <si>
    <t>⁦@gabrielrufian⁩ ⁦@JosepBorrellF⁩ ⁦@JoanTarda⁩ ⁦@sanchezcastejon⁩ ⁦@Pablo_Iglesias_⁩ ⁦@pablocasado_⁩ ⁦@Albert_Rivera⁩ DE VOSOTROS depende el cambio climático que nos estáis dando. Preocuparos menos de Twitter y de menos sobreactuación</t>
  </si>
  <si>
    <t>Toda la actualidad informativa de España, cuenta oficial para España de @EFEnoticias Otros perfiles en http://bit.ly/AgenciaEFE</t>
  </si>
  <si>
    <t>https://pbs.twimg.com/media/DsnnWWKW0AAm8E8.jpg</t>
  </si>
  <si>
    <t>http://www.efe.com/</t>
  </si>
  <si>
    <t>Lola en particular</t>
  </si>
  <si>
    <t>Os sentís a gusto con vuestros escoltas de la guardia civil @IreneMonteroJ @Pablo_Iglesias_ Sabiendo esto?</t>
  </si>
  <si>
    <t>https://extraconfidencial.com/noticias/marlaska-retira-parte-de-la-escolta-a-los-ex-ministros-de-interior-y-al-juez-llanera-que-se-quedan-solos-ante-los-cdr/</t>
  </si>
  <si>
    <t>Pablo Iglesias defenderá lo que planteen Teresa Rodríguez y Maíllo sobre pactos de gobierno tras el 2D</t>
  </si>
  <si>
    <t>https://www.europapress.es/andalucia/noticia-pablo-iglesias-defendera-plantee-teresa-rodriguez-pactos-gobierno-2d-20181123100420.html</t>
  </si>
  <si>
    <t>Rivas,  Madrid (España)</t>
  </si>
  <si>
    <t>Lectora infatigable, curiosa impertinente, positiva de naturaleza, amiga de sus amigos.... Periodista de vocación con título y sin ejercer en público.</t>
  </si>
  <si>
    <t>Teleprensa</t>
  </si>
  <si>
    <t>Fernando Jiménez</t>
  </si>
  <si>
    <t>Pablo Iglesias asegura que defenderá lo que planteen Rodríguez y Maíllo sobre pactos de gobierno t...  #noticias</t>
  </si>
  <si>
    <t>Mi respuesta al artículo de @Pablo_Iglesias_ hoy en @el_pais ¿Para qué sirve la democracia?</t>
  </si>
  <si>
    <t>http://bit.ly/2PTEiAM</t>
  </si>
  <si>
    <t>https://ferjimgon.blogspot.com/2018/11/para-que-sirve-la-democracia.html</t>
  </si>
  <si>
    <t>Twitter OFICIAL de http://TELEPRENSA.COM. Sigue en directo las noticias de tu provincia.</t>
  </si>
  <si>
    <t>http://www.teleprensa.com</t>
  </si>
  <si>
    <t>Oidor y contador de historias. Periodista, investigador de la Opinión Pública. Más Sam que Frodo. Visigodo con aires bizantinos.</t>
  </si>
  <si>
    <t>juan carlos mohr</t>
  </si>
  <si>
    <t>Más Madrid y más Carmena o, lo que es lo mismo, menos Podemos y menos Pablo Iglesias. Podemos absorbió a IU y ahora Carmena se come a Podemos. La nueva política</t>
  </si>
  <si>
    <t>https://www.elconfidencial.com/espana/madrid/2018-11-22/carmena-crisis-podemos-candidatura-mas-madrid-plataforma_1663166/</t>
  </si>
  <si>
    <t>Res non verba</t>
  </si>
  <si>
    <t>El problema no es república o monarquía, que también, el problema es que el modelo de República al que aspiran @agarzon y @Pablo_Iglesias_ es el de un periodo fracasado, oscuro y sangriento de la historia de España como es la II República. RT @jitorreblanca: Estimados @Pablo_Iglesias_ y @agarzon Entre los 20 países más ricos, democráticos y desarrollados del mundo hay 12 que tienen un monarca como jefe de estado. Y los 20 países más pobres del mundo y con peor índice de desarrollo humano son todos repúblicas.</t>
  </si>
  <si>
    <t>Ser profesional no es tener un titulo. Ser profesional es saber lo que estas haciendo. http://www.youtube.com/user/tiojon44 http://Instagram.com/juancarlosmohr</t>
  </si>
  <si>
    <t>http://www.youtube.com/user/tiojon44</t>
  </si>
  <si>
    <t>Liberal, aprendiz de twitero, filósofo en potencia y amante de la cultura con mayúsculas</t>
  </si>
  <si>
    <t>Aitor Venero</t>
  </si>
  <si>
    <t>Hoy #PorUnaLeyJusta es casi una realidad y no va a ser gracias a vosotros @PodemosBurgos @ahorapodemos @Pablo_Iglesias_ SOIS UNOS SINVERGÜENZAS UNA VEZ MAS OS RETRATAIS VOSOTROS MISMOS. QUE OS QUEDE CLARO QUE ESE CAMBIO DE LEY ES POR EL BIEN DE TODOS LUEGO NOS COGÉIS MEDALLAS</t>
  </si>
  <si>
    <t>https://pbs.twimg.com/media/DsnmL0SXoAAIGuz.jpg</t>
  </si>
  <si>
    <t>Aficionado al Fútbol Femenino Encargado de grabar los partidos del N.S.B.Burgos Fotografo de eventos deportivos: Vuelta A Burgos,San Pablo Burgos,FutFem</t>
  </si>
  <si>
    <t>BARILOCHE</t>
  </si>
  <si>
    <t>Esta mujer está mucho más capacitada y tiene más humildad y capacidad de trabajo que la pinocha de @Susanadiaz . Ojalá sea capaz cargarse al dictador bolivariano de @Pablo_Iglesias_ y su cohorte.Como, por ejemplo, @agarzon.  vía @diariodejerez</t>
  </si>
  <si>
    <t>https://www.diariodejerez.es/_4da6b0fe</t>
  </si>
  <si>
    <t>Jubilata harto de la infame clase de políticos que tenemos.</t>
  </si>
  <si>
    <t>LaWomanDelCallao</t>
  </si>
  <si>
    <t>«¿Para qué sirve hoy la monarquía? Una nueva república será la mejor garantía para una España unida sobre la base del respeto y la libre decisión de sus pueblos y sus gentes» Artículo de @Pablo_Iglesias_</t>
  </si>
  <si>
    <t>Españistan</t>
  </si>
  <si>
    <t>Mi opinión es ley</t>
  </si>
  <si>
    <t>Pablo Gentili</t>
  </si>
  <si>
    <t>#CLACSO2018 || @Villarruel_clau sentado al lado de Diego Peretti explicó a lxs compañerxs de otros países de América Latina quién es Máximo Cozzetti 😂 Esta serie también te la recomiendo @Pablo_Iglesias_</t>
  </si>
  <si>
    <t>pic.twitter.com/REfaVLZCt6</t>
  </si>
  <si>
    <t>Río de Janeiro / Buenos Aires</t>
  </si>
  <si>
    <t>Secretario Ejecutivo de CLACSO. Profesor de la UERJ. Coordinador del Núcleo de Politica Educativa de la UMET. Autor del blog CONTRAPUNTOS del periódico El País.</t>
  </si>
  <si>
    <t>http://blogs.elpais.com/contrapuntos/</t>
  </si>
  <si>
    <t>MOISES BAILON</t>
  </si>
  <si>
    <t>Interesante texto de @Pablo_Iglesias_ que vale la pena leer y discutir. RT @Pablo_Iglesias_: España debe terminar de convertirse en una democracia moderna. Una nueva república será la mejor garantía para una España unida sobre la base del respeto y la libre decisión de sus pueblos y sus gentes. #ParaQuéSirveLaMonarquía.</t>
  </si>
  <si>
    <t>Oaxaca</t>
  </si>
  <si>
    <t>ITAM, oaxaqueño, Consultor.</t>
  </si>
  <si>
    <t>Juan Carlos Reguera Silva</t>
  </si>
  <si>
    <t>La última tontería de Pablo Iglesias es decir que el Rey no estuvo a la altura con el problema catalán, estuvo y está y puede declarar el estado de sitio, dice que la Monarquía no es democracia. Reino Unido, Dinamarca etc son Monarquías y son países muy democráticos.</t>
  </si>
  <si>
    <t>#Ilegalizacionpodemos DESPRECIABLES @AdaColau @ahorapodemos @AhoraMadrid @pnique @MiguelUrban @ionebelarra @agarzon @Irene_Montero_ @RamonEspinar @MonederoJC @TeresaRodr_ @Pablo_Iglesias_ @ierrejon @BeatrizTalegon @iunida @MayoralRafa @Elisendalamany @LaFallaras @carlossmato RT @Mariagtriana: Un círculo de Podemos asegura que la quimioterapia envenena a los pacientes de cáncer . Esto es para llevarlo a la Fiscalía.Jugar de forma tan SUCIA con Enfermos Oncológicos ,es para qué los encierren a todos. No pueden ser más Miserables. VOMITIVO .</t>
  </si>
  <si>
    <t>VOX. EL SISTEMA ANTIFRAUDE. Libro que arregla la economía 20 años o más. Amazon. 4.300 librerías. Mirar el tuit fijado que dice como se hace. Ebook.</t>
  </si>
  <si>
    <t>https://twitter.com/Mariagtriana/status/1065522370641870848
https://okdiario.com/espana/2018/11/22/circulo-podemos-asegura-que-quimioterapia-envenena-pacientes-cancer-3376342#.W_ZoGYNAflA.twitter</t>
  </si>
  <si>
    <t>Déjenme anotar🇮🇨 🇪🇸</t>
  </si>
  <si>
    <t>Votar a vox es lo sensato si queremos ver una España diferente. El voto inutil es votar al pp y psoe corruptos, que son mentirosos y vividores , el voto inutil es votar el comunismo de podemos para ser como la adorada venezuela de Pablo iglesias RT @ElAngelFacha: Sánchez mandó su coche oficial vacío a Valladolid para hacer los 8 kms del aeropuerto a la ciudad</t>
  </si>
  <si>
    <t>https://twitter.com/ElAngelFacha/status/1065605111869857792
https://okdiario.com/espana/2018/11/21/sanchez-mando-coche-oficial-vacio-valladolid-hacer-8-kms-del-aeropuerto-ciudad-3377374?fbclid=IwAR1DttpMdHR_VkVS7nWaU2OKvnxc_ENB4xqwp4ILYAgwWCW9ThIBPSzuyPs</t>
  </si>
  <si>
    <t>bien@bien</t>
  </si>
  <si>
    <t>buenom que les valla muy bien jajajaj @Pablo_Iglesias_ @pnique @ RT @SegundoSanz: Podemos cierra 'La mitad del camino', el periódico que lanzó para darse autobombo tras editar un solo número</t>
  </si>
  <si>
    <t>planeta tierra y niburu</t>
  </si>
  <si>
    <t>PONGO SENSATEZ EN LA ESTUPIDEZ HUMANA. NO OPRIMA MI LIBERTAD DE EXPRESIÓN,ME JUZGA DIOS NO EL SER HUMANO.SOMOS ALMAS HERMANAS CREADAS POR DIOS.</t>
  </si>
  <si>
    <t>https://twitter.com/SegundoSanz/status/1065628909549617152
https://okdiario.com/espana/2018/11/22/podemos-cierra-granma-que-lanzo-darse-autobombo-editar-solo-numero-3375752#.W_bL2ZZokZs.twitter</t>
  </si>
  <si>
    <t>📻El secretario general de @ahorapodemos @Pablo_Iglesias_ será entrevistado mañana a partir de las 9h por @PepaBueno en @HoyPorHoy de @La_SER</t>
  </si>
  <si>
    <t>https://pbs.twimg.com/media/DsnfrpQWkAEePNu.jpg</t>
  </si>
  <si>
    <t>Ana Cabanillas</t>
  </si>
  <si>
    <t>Bernal Díaz del Castillo</t>
  </si>
  <si>
    <t>#ParaQuéSirveLaMonarquía ¡para que @Pablo_Iglesias_ jamás sea Jefe del Estado en España, p.ej.! ¡Ya tiene bastante con su Marquesado de Galapagar!</t>
  </si>
  <si>
    <t>Volver con la pluma en la mano como el buen piloto lleva la sonda por el mar, descubriendo los bajos cuando siente que los hay. Mi único amor es la verdad.</t>
  </si>
  <si>
    <t>https://youtu.be/ROMeqNS5XKM</t>
  </si>
  <si>
    <t>writing is rhythm</t>
  </si>
  <si>
    <t>Perdón, por favor y gracias | Periodista | Política en @indpcom | Cuenta personal</t>
  </si>
  <si>
    <t>Pablo Iglesias y Pedro Sánchez. RT @LaFallaras: Si no condenas en fascismo, ¿qué eres? Si no condenas una dictadura, ¿qué eres? Si no condenas un régimen que asesinó a miles y miles de personas y torturó a otras tantas, ¿qué eres?</t>
  </si>
  <si>
    <t>https://twitter.com/lafallaras/status/1065297288761876486
https://elpais.com/politica/2018/11/21/actualidad/1542812383_600299.html</t>
  </si>
  <si>
    <t>PodemosCastilleja</t>
  </si>
  <si>
    <t>Hoy @Pablo_Iglesias_ reflexiona sobre #ParaQuéSirveLaMonarquía en una democracia avanzada. Queremos construir una España moderna a la...</t>
  </si>
  <si>
    <t>Víctor.</t>
  </si>
  <si>
    <t>Obama de esquerdas, Evo Morales prácticamente de centro e Pablo Iglesias a esquerda de todo. Menudo chiste😂 RT @ronanburtenshaw: This is what happens when liberals try to quantify “populism.” The Guardian’s chart has Evo Morales to the right of Obama and Macron.</t>
  </si>
  <si>
    <t>Castilleja de la Cuesta</t>
  </si>
  <si>
    <t>http://www.podemoscastilleja.com</t>
  </si>
  <si>
    <t>https://twitter.com/ronanburtenshaw/status/1065172972527370240</t>
  </si>
  <si>
    <t>https://pbs.twimg.com/media/DshBKm7X4AAP7hZ.jpg</t>
  </si>
  <si>
    <t>Galiza.</t>
  </si>
  <si>
    <t>Denantes mortos que escravos. A patria ou a morte, venceremos.✊</t>
  </si>
  <si>
    <t>Carolina Alonso</t>
  </si>
  <si>
    <t>#ParaQuéSirveLaMonarquía Para qué impresentables, mentirosos, populistas, demagogos... sin educación, principios, valores y respeto como @Pablo_Iglesias_ y @gabrielrufian nunca lleguen a ser "Jefes del Estado". Os parece poco...!!!</t>
  </si>
  <si>
    <t>💦Aguas Neutrales</t>
  </si>
  <si>
    <t>¿Qué le pasa a Pablo Iglesias con las mujeres?</t>
  </si>
  <si>
    <t>"El mundo cambia con tu ejemplo, no con tu opinión". Politóloga. Amante de la lectura, escribir, viajar y bailar...Deja que la vida te saque a bailar!!!</t>
  </si>
  <si>
    <t>https://www.huffingtonpost.es/2018/11/14/que-le-pasa-a-pablo-iglesias-con-las-mujeres_a_23589235/</t>
  </si>
  <si>
    <t>https://pbs.twimg.com/media/DsrRIWxX4AALIKU.jpg</t>
  </si>
  <si>
    <t>Julio Rodríguez</t>
  </si>
  <si>
    <t>Hoy @Pablo_Iglesias_ reflexiona sobre #ParaQuéSirveLaMonarquía en una democracia avanzada. Queremos construir una España moderna a la altura de la ciudadanía del sigloXXI  Avanzar en democracia es avanzar en participación. Vota en</t>
  </si>
  <si>
    <t>El poder reside en las cosas que nos unen, no en las que nos separan ¡Bienvenido a @AguasNeutrales!</t>
  </si>
  <si>
    <t>Secretario General de Podemos en la ciudad de Madrid</t>
  </si>
  <si>
    <t>http://madrid.podemos.info</t>
  </si>
  <si>
    <t xml:space="preserve">José Ramón Torices </t>
  </si>
  <si>
    <t>Eso digo yo #ParaQueSirveLaMonarquia @Pablo_Iglesias_ en @el_pais</t>
  </si>
  <si>
    <t>https://elpais.com/elpais/2018/11/21/opinion/1542806031_921444.html?fbclid=IwAR2xjHuavla0RQT3fFMoHmwYicLVFcFlzHayxF-GIqMgT1RllIkBBJv1OMg</t>
  </si>
  <si>
    <t>Granada, Andalucía</t>
  </si>
  <si>
    <t>PhD Student in Philosophy</t>
  </si>
  <si>
    <t>https://joseramontorices.wordpress.com</t>
  </si>
  <si>
    <t>Xabi Laki</t>
  </si>
  <si>
    <t>Upssss @Pablo_Iglesias_ y @pnique, el repaso aún os escuece?? RT @CastigadorY: No hay nada cómo escuchar a un dirigente de Podemos criticar al propio partido, que no caiga en el olvido este vídeo, por cierto, para el que no lo sepa poco después de estas declaraciones le mandaron a un sicario para que le partiera la cara cómo buenos demócratas que son.</t>
  </si>
  <si>
    <t>Comunidad Foral de Navarra, Es</t>
  </si>
  <si>
    <t>Quita poder a todo lo que te perturbe.... Si no existe en tu mente, no existirá en tu vida... ;)</t>
  </si>
  <si>
    <t>El líder de Podemos, a favor del veto al Brexit del Gobierno "para defender a la gente trabajadora de Gibraltar"</t>
  </si>
  <si>
    <t>jose luis hornos 🇪🇸</t>
  </si>
  <si>
    <t>Estos son los que aparecen en otro video asesinados y tirados como sacos de basura desde un camión. @Pablo_Iglesias_ .@ahorapodemos le explicáis “esto” a vuestros votantes, porque el resto de Españoles ya lo conocen !!! #TicTac RT @TorresAren: EN #200AñosRepúblicaDeVenezuela NUNCA Se habían visto estás atrocidades como las que hace la GUARDIA NAZI-ONAL del DICTADOR NICOLÁS MADURO En el ESTADO FALCÓN VENEZUELA A los opositores alREGIMEN Y la comunidad internacional🤐 #21Nov #22Nov #FelizMiercoles</t>
  </si>
  <si>
    <t>https://www.elindependiente.com/politica/2018/11/23/pablo-iglesias-defiende-gibraltar-los-trabajadores-no-patriotismo-extrano/?utm_source=share_buttons&amp;utm_medium=twitter&amp;utm_campaign=social_share2</t>
  </si>
  <si>
    <t>https://twitter.com/torresaren/status/1064991662219411456
https://twitter.com/AdamSmithFree/status/1056955827666456576/video/1</t>
  </si>
  <si>
    <t>«El verdadero soldado no lucha porque odie lo que tiene enfrente, sino porque ama lo que tiene detrás.» Chesterton. COMUNIDAD VALENCIANA.</t>
  </si>
  <si>
    <t>Pablo Iglesias renuncia a plantar cara a Manuela Carmena en Madrid</t>
  </si>
  <si>
    <t>Nacho Torreblanca</t>
  </si>
  <si>
    <t>Estimados @Pablo_Iglesias_ y @agarzon Entre los 20 países más ricos, democráticos y desarrollados del mundo hay 12 que tienen un monarca como jefe de estado. Y los 20 países más pobres del mundo y con peor índice de desarrollo humano son todos repúblicas.</t>
  </si>
  <si>
    <t>https://pbs.twimg.com/media/DsrLmNVW0AExay6.jpg</t>
  </si>
  <si>
    <t>Director de la Oficina de ECFR en Madrid. Profesor de Ciencias Políticas en la UNED. Columnista en EL MUNDO y colaborador de RNE.</t>
  </si>
  <si>
    <t>Óscar Díaz de Liaño</t>
  </si>
  <si>
    <t>Las Tablas Digital</t>
  </si>
  <si>
    <t>¿Cómo eres de populista? ¿Como @Pablo_Iglesias_ (populista de izquierdas)? ¿como @matteosalvinimi (populista de derechas)? Haz este test del periódico @guardian (Ah. Para los ofendiditos: los dos ejemplos son de su test je je). RT @guardian: How populist are you?</t>
  </si>
  <si>
    <t>Manuela Carmena rompe la baraja y amenaza con dejar a Pablo Iglesias sin cuota en Más Madrid</t>
  </si>
  <si>
    <t>https://twitter.com/guardian/status/1065618463371218945
https://trib.al/Jb7sdEu</t>
  </si>
  <si>
    <t>https://www.elconfidencial.com/espana/madrid/2018-11-22/carmena-crisis-podemos-candidatura-mas-madrid-plataforma_1663166/?utm_source=twitter&amp;utm_medium=social&amp;utm_campaign=BotoneraWeb</t>
  </si>
  <si>
    <t>No. Todas las opiniones no son ni mucho menos respetables. Periodista: CNN+ (mi escuela), Cuatro, La Sexta (los dos peores años de mi vida) y ahora Mediaset.</t>
  </si>
  <si>
    <t>Las Tablas, Madrid</t>
  </si>
  <si>
    <t>Periódico digital con noticias e información del barrio de Las Tablas... y mucho más. http://Facebook.com/LasTablasDigital</t>
  </si>
  <si>
    <t>http://www.lastablasdigital.com</t>
  </si>
  <si>
    <t>José F. Peláez (Magnífico Margarito)</t>
  </si>
  <si>
    <t>Es un hecho que @gabrielrufian ha ganado por goleada a @Pablo_Iglesias_ en la batalla por el liderazgo del golpismo cafre malote. Las cosas como son.</t>
  </si>
  <si>
    <t>Maria Trabis</t>
  </si>
  <si>
    <t>Valladolid</t>
  </si>
  <si>
    <t>Director de @wearemarkniac. Columnista en El Norte de Castilla y también en mi blog.</t>
  </si>
  <si>
    <t>http://magnificomargarito.com</t>
  </si>
  <si>
    <t>rorrof</t>
  </si>
  <si>
    <t>Empecé a interesarme en la Ciencia Política gracias a La Tuerka, y acabé entrando a la carrera del interés que me despertó eso y lo que fui leyendo después. Me cago en tus muertos @Pablo_Iglesias_ , me cago en tus muertos.</t>
  </si>
  <si>
    <t>Getafe, España</t>
  </si>
  <si>
    <t>Sufrimiento Blanquinegro. Burgos-Getafe. Ciencias Políticas y Sociología, por alguna razón.</t>
  </si>
  <si>
    <t>https://pbs.twimg.com/media/DsnTWYUXcAA42CS.png</t>
  </si>
  <si>
    <t>Botako</t>
  </si>
  <si>
    <t>Pablo iglesias tiene dinero.</t>
  </si>
  <si>
    <t>Sword Art Online</t>
  </si>
  <si>
    <t>jacobo P.B</t>
  </si>
  <si>
    <t>Y a eston cuando le metemos mano? @Pablo_Iglesias_ @TeresaRodr_ @Albert_Rivera @agarzon @sanchezcastejon</t>
  </si>
  <si>
    <t>https://perdidue.com/2018/11/20/la-realidad-de-muchos-centros-sanitarios-en-espana-que-los-pacientes-teneis-que-conocer/</t>
  </si>
  <si>
    <t>📚 Con el objetivo de brindar herramientas teóricas y metodológicas para el estudio de los procesos geopolíticos, económicos y sociales de Latinoamérica, lanzamos nuestros Cuadernos de Formación. Participan; @MashiRafael @Pablo_Iglesias_ @ernestosamperp</t>
  </si>
  <si>
    <t>https://bit.ly/2Dw4mu2</t>
  </si>
  <si>
    <t>ribap</t>
  </si>
  <si>
    <t>Muy de acuerdo con este artículo de @Pablo_Iglesias_ Tribuna | ¿Para qué sirve hoy la monarquía?; por Pablo Iglesias  vía @el_pais</t>
  </si>
  <si>
    <t>Por ahora en Salamanca</t>
  </si>
  <si>
    <t>Doctor en Física y medio matemático. En paro. Ácrata. Me relaja fregar los platos.</t>
  </si>
  <si>
    <t>https://www.linkedin.com/in/%C3%A1lvaro-peralta-conde-8106a439/</t>
  </si>
  <si>
    <t>"Una nueva república será la mejor garantía para una España unida sobre la base del respeto y la libre decisión de sus pueblos y sus gentes". Una tribuna de @Pablo_Iglesias_ #ParaQuéSirveLaMonarquía</t>
  </si>
  <si>
    <t>http://ow.ly/Ndet30mIoS5</t>
  </si>
  <si>
    <t>Vamos q llevarse al IBEX y dejar en tierra a @Pablo_Iglesias_ .... este hombre hace demasiados feos a la izquierda RT @borjajimenezd: #EXCLUSIVA 🔴🔴 Pedro Sánchez sabe de quién rodearse, las multinacionales ya no son tan malas: Telefónica e Iberia entre las 24 empresas que viajarán a Cuba en su avión presidencial. Con @joanguirado</t>
  </si>
  <si>
    <t>https://twitter.com/borjajimenezd/status/1065544633298628609
https://okdiario.com/economia/2018/11/22/telefonica-iberia-24-empresas-que-viajaran-cuba-sanchez-avion-presidencial-3378002#.W_Z9GnCwfek.twitter</t>
  </si>
  <si>
    <t>La Opinión de Málaga</t>
  </si>
  <si>
    <t>.@Pablo_Iglesias_ y @agarzon cerrarán la campaña de @AdelanteAND en #Torremolinos</t>
  </si>
  <si>
    <t>SoloClima</t>
  </si>
  <si>
    <t>De los creadores de #LaGeneracionMejorPreparadaDeLaHistoria y los #NegacionistasDelHolocausto llega #EnLaUnionSovieticaSeViviaMejor</t>
  </si>
  <si>
    <t>https://www.laopiniondemalaga.es/andalucia/2018/11/22/iglesias-garzon-cerraran-campana-aa/1049220.html</t>
  </si>
  <si>
    <t>https://pbs.twimg.com/media/DsnLUkZXcAYzpEs.jpg</t>
  </si>
  <si>
    <t>https://www.google.es/amp/s/okdiario.com/investigacion/2016/12/12/pablo-iglesias-holocausto-fue-mero-problema-burocratico-591551/amp</t>
  </si>
  <si>
    <t>Málaga (Spain)</t>
  </si>
  <si>
    <t>Cuenta oficial de La Opinión de Málaga (Prensa Ibérica). Calle Salvago, 3, 3º. 29005 Tel: 📞952 126 200 | 📧redaccion@laopiniondemalaga.es</t>
  </si>
  <si>
    <t>http://www.laopiniondemalaga.es</t>
  </si>
  <si>
    <t>al sur del sur</t>
  </si>
  <si>
    <t>Jefe de Máquinas de la Marina Mercante. ...Trabajé sin descanso hasta que mis hijos decidieron tomar el mando. Ahora ellos deciden ...</t>
  </si>
  <si>
    <t>http://www.frenoaltiempo.com</t>
  </si>
  <si>
    <t>Un Taxista Marroquí</t>
  </si>
  <si>
    <t>¿Que hace que Maduro siga gobernando Venezuela? - La represión militar. ¿Quién posee el mando supremo de las fuerzas armadas en España? - El Rey. ¿Por qué @pablo_iglesias_ no quiere monarquía? - La pregunta se responde sola... 😏</t>
  </si>
  <si>
    <t>Taxista a tiempo parcial, héroe anónimo di la Rambla, perteneciente a la liga di la justicia, si tiene algún probliema quizás pueda ayudarle. #UnTaxistaMarroquí</t>
  </si>
  <si>
    <t>víctor ruiz</t>
  </si>
  <si>
    <t>Parece que os quedáis a mitad de camino en el lanzamiento de vuestro flamante y recién creado órgano oficial de difusión. Hola .@pnique, Hola .@Pablo_Iglesias_ un solo número parece muy poquita cosa para un nuevo pais. RT @ahorapodemos: 🚌La ruta 'La mitad del camino. Hacia un nuevo país' sigue su curso. 🗓️Mañana, viernes 16 de noviembre, a las 18.30h @pnique @ionebelarra @ierrejon @Yolanda_Diaz_ y @Julio_Rodr_ estarán en el @cbamadrid para dar a conocer el acuerdo al que hemos llegado con el Gobierno.</t>
  </si>
  <si>
    <t>https://twitter.com/ahorapodemos/status/1063101154777800705</t>
  </si>
  <si>
    <t>https://pbs.twimg.com/media/DsDi_vHWsAEq-4w.jpg</t>
  </si>
  <si>
    <t>Una nación no se pierde porque unos la ataquen, sino porque quienes la aman no la defienden. [Blas de Lezo y Olavarrieta]</t>
  </si>
  <si>
    <t>israel cervantes</t>
  </si>
  <si>
    <t>¿que te parece esto en tu amada Venezuela? @Pablo_Iglesias_ RT @TorresAren: EN #200AñosRepúblicaDeVenezuela NUNCA Se habían visto estás atrocidades como las que hace la GUARDIA NAZI-ONAL del DICTADOR NICOLÁS MADURO En el ESTADO FALCÓN VENEZUELA A los opositores alREGIMEN Y la comunidad internacional🤐 #21Nov #22Nov #FelizMiercoles</t>
  </si>
  <si>
    <t>PROVINCIA DE CARTAGENA, ESPAÑA</t>
  </si>
  <si>
    <t>Cansado de lo politicamente correcto. Digo las cosas como son. Si te gusta me sigues. Defensor de la restitución de la provincia de Cartagena. http://amaresregalos.es</t>
  </si>
  <si>
    <t>http://www.qendra.es</t>
  </si>
  <si>
    <t>raul shogun</t>
  </si>
  <si>
    <t>Estimado @Pablo_Iglesias_ "tú también bruto?" Nos mentiste cuando dijiste que no subiría la cuota a los autónomos? Solo servimos para pagar. No hay modo de que los pequeños confiemos en vosotros..y en ninguno #harto #todosnosusais #falsos #todosnosmentis #decepcion</t>
  </si>
  <si>
    <t>Salamanca</t>
  </si>
  <si>
    <t>copropietario de Shogun Salamanca. Colaborador de @loscrononautas, excolaborador de la Rosa de los Vientos. Friki empedernido. para mas info pregunta..</t>
  </si>
  <si>
    <t>http://shogunsalamanca.com</t>
  </si>
  <si>
    <t>Javier González🇪🇸🇪🇺 🇻🇦👨‍⚖️👨‍👩‍👧‍👧✝️</t>
  </si>
  <si>
    <t>🔴🔴¿Para que sirve hoy Pablo Iglesias ? RT @ldpsincomplejos: Veo que Pablo Iglesias ha escrito un artículo preguntándose "¿Para qué sirve hoy la Monarquía?". Yo me pregunto otra cosa: ¿para qué sirve hoy Pablo Iglesias? Una vez conducido el 15M a la nada, ya has logrado los objetivos de quienes te lanzaron, Pablo. ¿Por qué sigues murgando?</t>
  </si>
  <si>
    <t>https://twitter.com/ldpsincomplejos/status/1065607926079983616</t>
  </si>
  <si>
    <t>bernardo sestayo</t>
  </si>
  <si>
    <t>Dónde el @Albert_Rivera vió que Felipe VI está más valorado que @Pablo_Iglesias_?. De qué año es la encuesta?. O porque un imbécil lo diga todos tenemos que admitirlo?. @Albert_Rivera eres el tonto de la taberna. #Simplemente. RT @europapress: Rivera recalca a Iglesias que el problema de España no es la Monarquía sino el populismo: "Felipe VI está bastante mejor valorado que Iglesias. El Rey no es el problema, son Rufián, Iglesias, Puigdemont..."</t>
  </si>
  <si>
    <t>Naci en Lleida, vivo Zaragoza,</t>
  </si>
  <si>
    <t>¡SOLO LOS SABIOS SOMOS SENCILLOS! ". .puedo no estar de acuerdo con tus ideas, pero ten por seguro que lucharía hasta la muerte para que te puedas expresar.</t>
  </si>
  <si>
    <t>Na Galicia-Galiza.</t>
  </si>
  <si>
    <t>En mi atardecer quiero continuar a ser útil</t>
  </si>
  <si>
    <t>Jose Medina Revuelta</t>
  </si>
  <si>
    <t>El Gobierno y los autónomos pactan la subida de cuotas para el 2019 gracias ⁦@Pablo_Iglesias_⁩ por subir la cuota</t>
  </si>
  <si>
    <t>https://elpais.com/economia/2018/11/22/actualidad/1542887036_558254.html</t>
  </si>
  <si>
    <t>Físico, ávido lector y apasionado de la historia. Si eres bueno por interés serás astuto pero nunca bueno. Cicerón</t>
  </si>
  <si>
    <t>Ander</t>
  </si>
  <si>
    <t>Otra mentira que @sanchezcastejon le coló a @Pablo_Iglesias_ Alguien tendrá que explicar las consecuencias de tanta mentira, ¿no? RT @eldiarioes: La cuota mínima de los autónomos subirá 64 euros al año: acuerdo del Gobierno con las organizaciones de autónomos</t>
  </si>
  <si>
    <t>Periodista Digital</t>
  </si>
  <si>
    <t>Pepe Mújica: Pablo Iglesias se equivocó, no tiene vuelta</t>
  </si>
  <si>
    <t>https://twitter.com/eldiarioes/status/1065606576201904128
https://www.eldiario.es/economia/Acuerdo-Gobierno-organizaciones-autonomos-minima_0_838516570.html</t>
  </si>
  <si>
    <t>Padre. Profesor de Derecho internacional (UPV/EHU) en un Estado Social de Derecho sin derechos y poco Estado</t>
  </si>
  <si>
    <t>https://www.periodistadigital.com/ocio-y-cultura/cine-y-teatro/2018/11/23/pepe-mujica-ex-presidnete-de-uruguay-pablo-iglesias-se-equivoco-no-tiene-vuelta.shtml</t>
  </si>
  <si>
    <t>Ramon V51/2 ||*||363</t>
  </si>
  <si>
    <t>Hay que aprobar los presupuestos para dotar la fiscalía de recursos. Es eso? @miqueliceta @Pablo_Iglesias_ @AdaColau @sanchezcastejon @agarzon @pnique @ierrejon RT @jmangues: La fiscalia espanyola confirma que es querellarà contra els alcaldes catalans que van donar suport a l’1O, és a dir, que el 75% dels municipis de Catalunya tindran el batlle imputat per defensar la democràcia. Gràcies per la dignitat als 712 alcaldes i alcaldesses. Amb vosaltres!</t>
  </si>
  <si>
    <t>Influir en la gente que influye. Síguenos también en https://www.facebook.com/PeriodistaDigit</t>
  </si>
  <si>
    <t>http://www.periodistadigital.com</t>
  </si>
  <si>
    <t>https://twitter.com/jmangues/status/1065562887840780290</t>
  </si>
  <si>
    <t>Reus Barcelona Terrassa Fals</t>
  </si>
  <si>
    <t>Física i hort i molta aigua</t>
  </si>
  <si>
    <t>Raúl Oliván</t>
  </si>
  <si>
    <t>‘La radicalidad política no se mide por la camiseta que llevas sino por lo que eres capaz de conseguir’ ¿Obama? ¿Olof Palme? ¿Habermas? ¿Felipe González? No! Pablo Iglesias, que por enésima vez se transmuta en reformista al calor de las elecciones.</t>
  </si>
  <si>
    <t>INSISTO @Pablo_Iglesias_ NO SE ESTÁ HABLANDO DE SOLUCIONES URGENTES Y CONTUNDENTES para el mayor de nuestros PROBLEMAS: EMPLEO DIGNO y SOSTENIBLE en todas las edades. Y este SILENCIAMIENTO, del que estamos siendo cómplices, NO es CASUAL.</t>
  </si>
  <si>
    <t>pic.twitter.com/YtKh12FVRW</t>
  </si>
  <si>
    <t>Zaragoza, España</t>
  </si>
  <si>
    <t>Tras 10 años en @ZGZActiva ahora abriendo el @GobAragon como D.G Participación, Transparencia y Cooperación. Lanzando #LAAAB en @aragonabierto #hackerinside</t>
  </si>
  <si>
    <t>http://www.raulolivan.com</t>
  </si>
  <si>
    <t>Alejandro Ramos</t>
  </si>
  <si>
    <t>Muy de acuerdo con el artículo de @Pablo_Iglesias_ Además cabría añadir que si la monarquía fue y es (supuestamente) símbolo de democracia no supone ningún problema plantearse seriamente un refréndum</t>
  </si>
  <si>
    <t>Aguaazulverde</t>
  </si>
  <si>
    <t>Estudiante de derecho. // La rebelión empieza leyendo.</t>
  </si>
  <si>
    <t>Las cenizas de Rufián, por @emmariverola  Hay una gran diferencia entre Pablo Iglesias y Gabriel Rufián. Las palabras que a veces escupe Iglesias son la inflamación de una reflexión política, en Rufián son las cenizas de una fanfarronería</t>
  </si>
  <si>
    <t>https://www.elperiodico.com/es/opinion/20181122/articulo-opinion-emma-riverola-las-cenizas-de-rufian-7162317?utm_source=twitter&amp;utm_medium=social</t>
  </si>
  <si>
    <t>PCA Sevilla</t>
  </si>
  <si>
    <t>Acto central de campaña de @AdelanteAND en Sevilla con la presencia de @agarzon, @Pablo_Iglesias_, @MailloAntonio y @TeresaRodr_. 📅 Sábado 24 ⌚ 11h 📍 FIBES 🎟️ Para agilizar el acceso, puedes sacar tus entradas en este enlace:</t>
  </si>
  <si>
    <t>Pasaba por aquí y me quedé.</t>
  </si>
  <si>
    <t>Cuenta oficial del @pcandalucia en la provincia de Sevilla. Construyendo Socialismo y Partido</t>
  </si>
  <si>
    <t>http://www.pcasevilla.org</t>
  </si>
  <si>
    <t>Mr. Noray</t>
  </si>
  <si>
    <t>Cuando se pregunta a los españoles con qué ideología asocian a la República, un 85% contesta izquierda y sólo un 15% con un sistema que no sea República Popular. Hoy @Pablo_Iglesias_ NO escribe sobre dejar atrás LOS SÍMBOLOS QUE NOS DIVIDEN. 👇 #ParaQuéSirveVuestraRepública? RT @pnique: Cuando se pregunta a los españoles con qué ideología asocian a la monarquía, un 47% contesta derecha, un 23% extrema derecha y sólo un 1,6% izquierda. Hoy @Pablo_Iglesias_ escribe sobre dejar atrás LOS SÍMBOLOS QUE NOS DIVIDEN. 👇 #ParaQuéSirveLaMonarquía</t>
  </si>
  <si>
    <t>https://twitter.com/pnique/status/1065540122991620096
https://elpais.com/elpais/2018/11/21/opinion/1542806031_921444.html</t>
  </si>
  <si>
    <t>Fui Ministro. Voluntad, unión y constancia realizan grandes empresas.</t>
  </si>
  <si>
    <t>Borrell, un ministro de ultraderecha fichado por Pedro Sánchez, quien a su vez fue puesto en Moncloa por @pablo_iglesias_. Y los podemitas lo siguen aplaudiendo. No se enteran de que Pablo es un topo del sistema que ya es casta.</t>
  </si>
  <si>
    <t>pic.twitter.com/dV9xJw28g8</t>
  </si>
  <si>
    <t>JesusAntonio</t>
  </si>
  <si>
    <t>#SOSVenezuela! AYÚDENNOS! MADURO DEBE SALIR! @TabareVazquez @PepeMujicaDice @sanchezcastejo_ @JosepBorrellF @Pablo_Iglesias_ @mauriciomacri @IvanDuque @Lenin @MartinVizcarraC @MaritoAbdo @jairbolsonaro @sebastianpinera @mbachelet ⁦@copipega⁩</t>
  </si>
  <si>
    <t>https://www.instagram.com/p/BqamTcLgXUq/?utm_source=ig_share_sheet&amp;igshid=w98wkbwq2d1m</t>
  </si>
  <si>
    <t>https://pbs.twimg.com/media/DsnI3F4U0Ac8l07.jpg</t>
  </si>
  <si>
    <t>Maracaibo, Zulia</t>
  </si>
  <si>
    <t>http://page.is/jesusantonio</t>
  </si>
  <si>
    <t>futbolaragones.com</t>
  </si>
  <si>
    <t>⚽ BEN PREF&gt; Ebro – Actur Pablo Iglesias (4-2) 📷 Galería de imágenes 🐥 @cd_ebro @acturpiglesias</t>
  </si>
  <si>
    <t>Adolfo Martini</t>
  </si>
  <si>
    <t>#ParaQueSirveLaMonarquia ? Este es un excelente ZASCA para ti @Pablo_Iglesias_ el Rey no gobierna pero sí defiende la democracia y el Estado de derecho para que gentuza como tu no la destruya como ayudaste a hacer en Venezuela RT @ClementeParaTi: #ParaQuéSirveLaMonarquía ? Pues para que demagogos y populistas como tu tengan más difícil desmantelar la democracia como hicisteis en Venezuela o en Nicaragua.. sin vergüenza, cómplice de dictaduras.. #VivaElRey</t>
  </si>
  <si>
    <t>http://www.futbolaragones.com/web/ben-pref-ebro-actur-pablo-iglesias-4-2/?utm_campaign=shareaholic&amp;utm_medium=twitter&amp;utm_source=socialnetwork</t>
  </si>
  <si>
    <t>https://twitter.com/clementeparati/status/1065537575379759105</t>
  </si>
  <si>
    <t>ARAGÓN (ESPAÑA)</t>
  </si>
  <si>
    <t>https://pbs.twimg.com/media/DsmMxg9XQAA-vcb.jpg</t>
  </si>
  <si>
    <t>⚠️ Información sobre SD Huesca, Real Zaragoza, CD Ebro, CD Teruel, SD Ejea, 3ª División, Regionales, Femenino, Base, AD Sala 10... 📧 pagina@futbolaragones.com</t>
  </si>
  <si>
    <t>http://www.futbolaragones.com</t>
  </si>
  <si>
    <t xml:space="preserve">Madrid, España </t>
  </si>
  <si>
    <t>Vicepresidente y Portavoz de la ASEVED. Luchando por recuperar la democracia en Venezuela y preservarla en España. Venezolano, Español y Europeo</t>
  </si>
  <si>
    <t>Francisco Fernandez</t>
  </si>
  <si>
    <t>Renunciar PODEMOS no renuncia. PODEMOS negocia, y cede en alcaldías, y comunidades para conseguir lo mejor para los ciudadanos por encima del partido. Porque esa es la esencia de PODEMOS. Pablo Iglesias. @La_SER @HoyPorHoy</t>
  </si>
  <si>
    <t>Pues, @Pablo_Iglesias_ ya estás tardando en irte a Venezuela, Cuba o Corea del Norte! | En España ni queremos "republi-cacas" ni a ti, mamarracho! | RT @libertaddigital: Iglesias utiliza 'El País' para atacar a la monarquía: "Una nueva república será la mejor garantía para una España unida"</t>
  </si>
  <si>
    <t>Que tal!? Dicen que los niños y sus expresiones reflejan el sentimiento universal! @TabareVazquez @PepeMujicaDice @sanchezcastejo_ @JosepBorrellF @Pablo_Iglesias_ @mauriciomacri @IvanDuque @Lenin @MartinVizcarraC @MaritoAbdo @jairbolsonaro @sebastianpinera @mbachelet @copipega</t>
  </si>
  <si>
    <t>pic.twitter.com/MtgboMOn4f</t>
  </si>
  <si>
    <t>Andrés Del Castillo</t>
  </si>
  <si>
    <t>#losquesobran ¿Será @cielo_rusinque la @Pablo_Iglesias_ de #Colombia ? RT @cielo_rusinque: Mil gracias a tod@s los que me han apoyado en mis "dos minutos" de fama. Aquí les dejo mis impresiones, si las comparten los invito a compartirlas sin moderación con el: Unanse al hashtag #delosquesobran No nos van a callar!</t>
  </si>
  <si>
    <t>https://twitter.com/cielo_rusinque/status/1065266785308549122
https://www.elespectador.com/opinion/una-semana-de-fama-en-el-pais-de-los-que-sobran-y-usted-no-sabe-quien-soy-yo-columna-824807?fbclid=IwAR0o4WEtJ6lgfqUPYcSqBIt8qJSMH4hzKwf1Sl8W-MDo6DkMUsAMkv072hQ</t>
  </si>
  <si>
    <t>Geneva- Switzerland</t>
  </si>
  <si>
    <t>🇨🇴 🇨🇭International lawyer &amp; writer ✒ http://ours-mag.com/author/andres-del-castillo/ Chargé de Mission @Docip_en #CreatingSharedValue Own views #Pantheonassas #Sorbonne #bizhumanrights</t>
  </si>
  <si>
    <t>http://www.docip.org</t>
  </si>
  <si>
    <t>Abel Prieto</t>
  </si>
  <si>
    <t>La duda entre enseñar a mi hijo a estudiar duro, y ser un futuro parado, o que sea un macarra, escupiendo e insultando a la gente, y poder llegar a ser diputado en el congreso español @sanchezcastejon @pablocasado23 @Albert_Rivera @Pablo_Iglesias_ @gabrielrufian</t>
  </si>
  <si>
    <t>Cáceres, Extremadura, España.</t>
  </si>
  <si>
    <t>Tropezador profesional de la misma piedra y simpatizante de la vida</t>
  </si>
  <si>
    <t>Terror Romanorum</t>
  </si>
  <si>
    <t>Contemplamos impotentes la destrucción de la clase política española que nos aboca al hundimiento del país. ⁦@sanchezcastejon⁩ ⁦@pablocasado_⁩ ⁦@Pablo_Iglesias_⁩ ⁦@Albert_Rivera⁩ Que vergüenza ajena!</t>
  </si>
  <si>
    <t>https://www.eldiario.es/politica/Golpistas-fascistas-presuntos-escupitajos-Congreso_0_838167072.html</t>
  </si>
  <si>
    <t>Nacho</t>
  </si>
  <si>
    <t>¿Ridículo? Sí, ridículo😂 Marqués de Galapagar @Pablo_Iglesias_ , ¡manifiéstate! RT @ahorapodemos: 🐲 La Khaleesi andaluza tiene un secreto que contarte</t>
  </si>
  <si>
    <t>https://twitter.com/ahorapodemos/status/1065338334648647680</t>
  </si>
  <si>
    <t>https://pbs.twimg.com/media/DsjXWQiWsAE6meR.jpg</t>
  </si>
  <si>
    <t>Madridismo</t>
  </si>
  <si>
    <t>Javi C</t>
  </si>
  <si>
    <t>España aceptó la institución monárquica durante la Transición a cambio de estabilidad democrática y modernización. Pero hoy la monarquía dejó de cumplir su función histórica, dice @Pablo_Iglesias_ en esta recomendable nota.</t>
  </si>
  <si>
    <t>Asiram</t>
  </si>
  <si>
    <t>A ver Pablo Iglesias, qué le.has hecho a José María Calleja, que habla de Podemos con una inquina personal, digna de mejor causa?</t>
  </si>
  <si>
    <t>Politólogo, gallina.</t>
  </si>
  <si>
    <t>Otro mundo es posible. Vamos a trabajar para ello</t>
  </si>
  <si>
    <t>Carlos Serrano</t>
  </si>
  <si>
    <t>Cuando @Pablo_Iglesias_ habla de “patria”, “españoles” y “España unida” ya sabes que te quiere meter una bacalada. Hay que tener la cara como el cemento armado para flirtear con el independentismo catalán y los filoetarras y repartir carnés de demócratas.</t>
  </si>
  <si>
    <t>Juan Marcos Vallejo</t>
  </si>
  <si>
    <t>Clarificador artículo de Luis Ventoso en @abc_es sobre las mentiras y manipulaciones del neocomunista Pablo Iglesias para cuestionar y atacar la #Monarquía, que sus huestes retuitearon frenéticamente bajo la etiqueta #ParaQueSirveLaMonarquia</t>
  </si>
  <si>
    <t>https://www.abc.es/opinion/abci-ensayo-indigente-201811230117_noticia.html</t>
  </si>
  <si>
    <t>Madrid - Reino de España</t>
  </si>
  <si>
    <t>Heart-stopping, pants-dropping, house-rocking, earth-quaking, booty-shaking, love-making &amp; legendary. Como The E Street Band. No tengo abuela, claro.</t>
  </si>
  <si>
    <t>Periodista y Consultor. Asuntos Públicos / Comunicación de Crisis / Medios / Protocolo / Política / Historia. Director General de Triada Comunicación</t>
  </si>
  <si>
    <t>http://www.triadacomunicacion.com</t>
  </si>
  <si>
    <t>Armuño Esputador</t>
  </si>
  <si>
    <t>De poner la cara de Pablo Iglesias en la papeleta a que su principal cargo político no quiera ni verlos, qué evolución. RT @elconfidencial: Carmena rompe la baraja y amenaza con dejar a Iglesias sin cuota en Más Madrid</t>
  </si>
  <si>
    <t>RaquelSigloxxi</t>
  </si>
  <si>
    <t>Queremos una España moderna, una democracia avanzada donde la participación () es una herramienta para mejorar la vida de la gente. Hoy @Pablo_Iglesias_ escribe sobre la España que estamos construyendo. #ParaquesirvelaMonarquía</t>
  </si>
  <si>
    <t>https://twitter.com/elconfidencial/status/1065883148179791872
https://www.elconfidencial.com/espana/madrid/2018-11-22/carmena-crisis-podemos-candidatura-mas-madrid-plataforma_1663166/?utm_source=twitter&amp;utm_medium=social&amp;utm_campaign=ECDiarioManual</t>
  </si>
  <si>
    <t>Me visibilizo como neogüelfo. Ni un tuit sin su errata.</t>
  </si>
  <si>
    <t>http://participa.podemos.info
https://elpais.com/elpais/2018/11/21/opinion/1542806031_921444.html</t>
  </si>
  <si>
    <t>Antonio López 🔻</t>
  </si>
  <si>
    <t>ADAY QUESADA. Pablo Iglesias: “La bandera tricolor es el símbolo de los perdedores y no volverá a resurgir”</t>
  </si>
  <si>
    <t>Activista social por la Renta Básica, Consejera Ciudadana de Podemos Madrid. Trabajando en Ahora Madrid</t>
  </si>
  <si>
    <t>http://insurgente.org/aday-quesada-pablo-iglesias-la-bandera-tricolor-es-el-simbolo-de-los-perdedores-y-no-volvera-a-resurgir/</t>
  </si>
  <si>
    <t>Republicano, Comunista, Internacionalista</t>
  </si>
  <si>
    <t>Alicia 🇪🇸</t>
  </si>
  <si>
    <t>Lo de los viajes de Willy Fog @sanchezcastejon, es un escándalo!! Hasta su jefe @Pablo_Iglesias_ le llama la atención. Pablo Iglesias pasa a la acción contra Pedro Sánchez: afea sus viajes y censura su inacción en España  vía @elmundoes</t>
  </si>
  <si>
    <t>https://www.elmundo.es/espana/2018/11/20/5bf407ae46163f14b08b460e.html</t>
  </si>
  <si>
    <t>Pablo Iglesias: "Sé que es difícil sacar los presupuestos, es muy difícil, creo que el Gobierno se tenía que haber movido más" La entrevista en @HoyPorHoy con @PepaBueno →</t>
  </si>
  <si>
    <t>#elvallenosetoca</t>
  </si>
  <si>
    <t>https://pbs.twimg.com/media/DsrJeCIVAAARtXg.jpg</t>
  </si>
  <si>
    <t>stupidnewsmart</t>
  </si>
  <si>
    <t>Ni Cristo comenta nada sobre este tema!? @ahorapodemos @PPopular @PSOE @CiudadanosCs @Renfe @mincoturgob @elconfidencial @elmundoes @20m @larazon_es @elpais_espana @Pablo_Iglesias_ @pnique @pablocasado_ @sanchezcastejon @Albert_Rivera @InesArrimadas @TeresaRodr_ 👇👇👇👇👇👇👇👇 RT @stupidnewsmart1: Mientras la economía del país aun no consigue repuntar, Talgo compra de los 2000 millones que le dio Renfe de dinero público, productos más baratos en China, Rumania, etc. Vivan los trenes Talgo made in China! @ahorapodemos @PPopular @PSOE @CiudadanosCs @Renfe @mincoturgob</t>
  </si>
  <si>
    <t>https://twitter.com/stupidnewsmart1/status/1064407911768776704</t>
  </si>
  <si>
    <t>spain</t>
  </si>
  <si>
    <t>Cuando la imbecilidad se vuelve el nuevo estándar, se necesita sentido común e inteligencia. Tratamos temas de manera clara y directa, si no te gusta. bye bye!</t>
  </si>
  <si>
    <t>Erzuru2000🇪🇸</t>
  </si>
  <si>
    <t>Que dice @Pablo_Iglesias_ en @elpais_espana qué pa que sirve la monarquía. Illo tempore no hubiera sabido que contestar. Hoy digo que sirve para dar por culo a bilduetarras, nazivascos, catanazis y piojocomunistas. A mí me renta, me compensa, me vale y me sobra. Ea, ¡viva el Rey!</t>
  </si>
  <si>
    <t>Fund Largo Caballero</t>
  </si>
  <si>
    <t>"El libro de bolsillo que consultó Pablo Iglesias para fundar UGT" @flcbib #130AniversarioUGT @UGT_Comunica #TesorosDeBibliotecas #ArchivosDelMovimientoObrero @fpabloiglesias @f_indaprieto @largocaballerof @AnastasioGracia @chanpache</t>
  </si>
  <si>
    <t>Madridista, mourinhista y españolista. Absténganse ronceristas, casillistas, relañistas y segurolistas. No al Manolismo. Colaborador de @meritoRMCF</t>
  </si>
  <si>
    <t>Alcalá de Henares (Madrid)</t>
  </si>
  <si>
    <t>Fundación de estudios creada en 1978 con el nombre del histórico lider que mantiene trata y difunde el patrimonio documental y bibliográfico de UGT</t>
  </si>
  <si>
    <t>http://www.ugt.es/fflc/</t>
  </si>
  <si>
    <t>🇪🇸 Dr.Trankas#Licheone 🇪🇸</t>
  </si>
  <si>
    <t>A ver politicuchos: Que conmigo no os va a hacer falta esa caca de ley. Soy facha, mogollón de facha y voy a votar a VOX.😉 ¿Queda claro? Pues ala! A meneársela al baño un rato.😏 @pablocasado_ @sanchezcastejon @Pablo_Iglesias_ @Albert_Rivera #VikingosTeam #Lasilenciosacat</t>
  </si>
  <si>
    <t>A la derecha de la derecha.</t>
  </si>
  <si>
    <t>Máster en todo y doctorado en más. Ya estoy preparado para trabajar en una línea de producción... O presidir un país. 😉</t>
  </si>
  <si>
    <t>Chus</t>
  </si>
  <si>
    <t>¡@mejoreszasca ZASCA! En toda la bocaza. @Pablo_Iglesias_ quiere largar al Rey para reinar él -y lo sabes-. RT @Santi_ABASCAL: ¿Que para qué sirve la Monarquía? Para que alguien como tú, Pablo Mezquitas, devorado por el odio y la ambición, e impulsado por los irresponsables oligarcas de El País, no alcance nunca la jefatura del Estado. Solo por eso, ¡Viva el Rey!</t>
  </si>
  <si>
    <t>👨‍👩‍👧‍👦👠💋🦅🌞🥘🇪🇸🏎️✝️@vox_es</t>
  </si>
  <si>
    <t>Bufi</t>
  </si>
  <si>
    <t>Entonces estimado @Pablo_Iglesias_ ¿Las Democracias de España, Reino Unido y Japón tienen el mismo problema? RT @Pablo_Iglesias_: España debe terminar de convertirse en una democracia moderna. Una nueva república será la mejor garantía para una España unida sobre la base del respeto y la libre decisión de sus pueblos y sus gentes. #ParaQuéSirveLaMonarquía.</t>
  </si>
  <si>
    <t>Madrid/Reino de España</t>
  </si>
  <si>
    <t>Un orgulloso chileno (y de pura cepa), y residente en la hermosa ciudad de Madrid-España. Hay que reírse lo más posible y tuitear de vez en cuando.</t>
  </si>
  <si>
    <t>http://ask.fm/bufigol</t>
  </si>
  <si>
    <t>Pablo Iglesias: "Creo que el FMI y la Comisión Europea tienen que empezar a aprender a respetar los acuerdos entre fuerzas políticas" La entrevista en @HoyPorHoy con @PepaBueno→</t>
  </si>
  <si>
    <t>ROBIN HOOD * * *</t>
  </si>
  <si>
    <t>.@ManuelaCarmena anuncia que se retirará si no gana las elecciones municipales de mayo  PRESUMIDA, NO ? TU ERES UNA TRAIDORA Y MAL AGRADECIDA AL APOYO DE @Pablo_Iglesias_ TU NO SERÁS DE NUEVO LA ALCADESA DE MADRID. VETE A CASA, MUJER FALSA Y TRAIDORA !!!</t>
  </si>
  <si>
    <t>http://a.msn.com/01/es-es/BBPXUfV?ocid=st</t>
  </si>
  <si>
    <t>https://pbs.twimg.com/media/DsrIc8cU0AAvqcu.jpg</t>
  </si>
  <si>
    <t>Reflexión de @Pablo_Iglesias_ Opino q el EMÉRITO asestó un duro golpe a la Monarquía y DEBERÍA responder por las supuestas malas prácticas. Pero la ANTImonarquica OBSESIÓN d Pablo tiene tintes DESESTABILIZADORES aprovechando la ola SEDICIOSA en Cataluña.</t>
  </si>
  <si>
    <t>Monte Luz</t>
  </si>
  <si>
    <t>Este twit es un ejemplo del peligro q constituye el PSOE, un partido q pretende FORMAR a los jueces según du ideología y No ateniéndose a Ley es tan peligroso como Pablo Iglesias q pide “una Justicia comprometida con el cambio político q quieren para España. MUY PELIGROSO! RT @PSOE: 🙅🏼‍Tras esta decisión del mismo tribunal de #LaManada resulta más necesario que nunca la formación en igualdad de jueces y fiscales y la reforma de los delitos sexuales en el Código Penal.</t>
  </si>
  <si>
    <t>https://twitter.com/psoe/status/1065641322999095302
https://elpais.com/sociedad/2018/11/22/actualidad/1542889462_271109.html?id_externo_rsoc=TW_CM</t>
  </si>
  <si>
    <t>un poco aquí un poco allá</t>
  </si>
  <si>
    <t>Soy de derechas porque soy buena persona</t>
  </si>
  <si>
    <t>carlos botella</t>
  </si>
  <si>
    <t>¿Y para cuándo desde España podremos impulsar de nuevo con fuerza esa "inmoralidad"? @sanchezcastejon @Pablo_Iglesias_ #CooperaPaCuando  vía @Planeta_Futuro</t>
  </si>
  <si>
    <t>https://elpais.com/elpais/2018/11/21/planeta_futuro/1542825351_485530.html?id_externo_rsoc=TW_CC</t>
  </si>
  <si>
    <t>Development economist working on inequality for Oxfam. Messages&amp;RT are only personal views.</t>
  </si>
  <si>
    <t>Juan fernandez fer</t>
  </si>
  <si>
    <t>El dia que en este pais todos los que estan al frente de los partidos politicos esten en una entrevista de radio o de cualquier otro medio como hoy pablo iglesias sin hechar mierda al resto sino defendiendo sus politicas ESPAÑA SERA UN PAIS MAS MODERNO</t>
  </si>
  <si>
    <t>Kilombo</t>
  </si>
  <si>
    <t>#ParaQuéSirveLaMonarquía para nada y para que @Pablo_Iglesias_ tenga algo que decir. Como consigas esa República que quieres te vas a tener que currar los tweets.</t>
  </si>
  <si>
    <t>Por un mundo sin fronteras ni banderas NI DIOS NI PATRIA NI BANDERA con la sangre roja y el corazon a la izquierda un verso suelto es una persona libre</t>
  </si>
  <si>
    <t>Los cojones del norte 💚</t>
  </si>
  <si>
    <t>Pablo Iglesias en @La_SER @HoyPorHoy Si PSOEPPC's defienden la monarquía, que no tengan miedo, y manden al CIS hacer una encuesta. Para saber que dicen los españoles.</t>
  </si>
  <si>
    <t>.@ManuelaCarmena anuncia que se retirará si no gana las elecciones municipales de mayo  PRESUMIDA, NO ? TU ERES UNA TRAIDORA Y MAL AGRADECIDA AL APOYO DE @Pablo_Iglesias_ TU NO SERÁS MISMO LA ALCADESA DE MADRID …. !!! VETE A CASA, TRAIDORA … !!! PÁSELO</t>
  </si>
  <si>
    <t>Mari Carmen Soriano</t>
  </si>
  <si>
    <t>A propósito de interinos: ¿No será que urge un cambio normativo en España?... @PSOE @sanchezcastejon @CelaaIsabel @PodemosEduca @ahorapodemos @Pablo_Iglesias_ @J_Sanchez_Serna @joanmena RT @Carmenbernalhe2: @erojotorrecilla No soy jurista, pero estoy en la misma situación . Leída la sentencia y el análisis hecho por Vd. , siendo profana en la materia lo único que saco en conclusión es que : desde el tribual español " se marea a la perdiz", y que el TJUE, no hace más que " devolver la pelota"....</t>
  </si>
  <si>
    <t>https://twitter.com/carmenbernalhe2/status/1065535375618256897</t>
  </si>
  <si>
    <t>Yeclana en Murcia, Aragón en❤️</t>
  </si>
  <si>
    <t>EstrellaM</t>
  </si>
  <si>
    <t>Las Repúblicas son gratis. La francesa, por ejemplo. O la italiana. No cuestan nada. Los presidentes de República viven en Valkekas (como @Pablo_Iglesias_ ) y van en patinete RT @ionebelarra: Una monarquía que nos cuesta millones de euros, preñada de privilegios, incontrolable por la justicia y que cuando hay que arrimar el hombro para solucionar los problemas de nuestro país, se pone detrás del PP. ¿#ParaQuéSirveLaMonarquía?</t>
  </si>
  <si>
    <t>Feminismo Digital</t>
  </si>
  <si>
    <t>Pablo Iglesias que no sabe si la prostitución es explotación usa en el programa de @PepaBueno al feminismo para meterse con la Monarquia. ( lo vamos a dejar aquí por que la cosa da para una tesis</t>
  </si>
  <si>
    <t>https://twitter.com/ionebelarra/status/1065519803107033088</t>
  </si>
  <si>
    <t>Luz de Trento, martillo de herejes, espada de Roma.</t>
  </si>
  <si>
    <t>Pere Nubiola Radigales</t>
  </si>
  <si>
    <t>La @fiscal_es actua en representación del franquismo y la represión de los derechos humanos. Sacando a Franco de su masuleo no se acaba con el franquismo @sanchezcastejon. Aunque quizás este no es uno de sus obletivos. Piensalo @Pablo_Iglesias_</t>
  </si>
  <si>
    <t>En tiempos de reacción: cierre de filas, pensamiento. reflexión y acción concertada.</t>
  </si>
  <si>
    <t>https://www.vilaweb.cat/noticies/la-fiscalia-espanyola-confirma-que-es-querellara-contra-batlles-catalans-per-l1-o/</t>
  </si>
  <si>
    <t>Pablo Checa</t>
  </si>
  <si>
    <t>¿Pues no va Pablo Iglesias y le suelta a @PepaBueno que los trapos sucios hay que lavarlos en casa? El del #ÍñigoAsíNo. Menudo carota. Chócala.</t>
  </si>
  <si>
    <t>Gran Canaria</t>
  </si>
  <si>
    <t>@CanariaseBook. Periodista deportivo. Redactor de @diarioas. Colaboro en @serdeportivoslp. Hablo y opino por mí. Proyectando #LaCiudaddeGaldós. Y más...</t>
  </si>
  <si>
    <t>Sumaría, y mucho, una República presidida por @Pablo_Iglesias_ . O por tu padre. RT @RamonEspinar: A 40 años de la aprobación de la constitución la Corona tiene un papel difuso y no articula consensos. Divide, no suma La España del siglo XXI está por hacer. Estupendo artículo de @Pablo_Iglesias_ apuntando en la dirección del patriotismo constituyente</t>
  </si>
  <si>
    <t>https://twitter.com/RamonEspinar/status/1065573695551414273
https://elpais.com/elpais/2018/11/21/opinion/1542806031_921444.html</t>
  </si>
  <si>
    <t>Eliath-ATUREM CAT</t>
  </si>
  <si>
    <t>Ya ha cambiado de opinión de monarquía #lameculets al coletas @Pablo_Iglesias_ ❓❓❓ RT @boye_g: Muy oportuna y clara reflexión de @Pablo_Iglesias_ : ¿Para qué sirve hoy la monarquía? | Opinión | EL PAÍS</t>
  </si>
  <si>
    <t>https://twitter.com/boye_g/status/1065527319513702400
https://elpais.com/elpais/2018/11/21/opinion/1542806031_921444.html</t>
  </si>
  <si>
    <t>Pablo Iglesias, en @HoyPorHoy: "Está bien que los monárquicos defiendan la monarquía pero en 2018 igual se puede empezar a discutir si queremos una jefatura del estado a la que se accede por fecundación o por elección" DIRECTO →</t>
  </si>
  <si>
    <t>MARESME, Barcelona, REPÚBLICA CATALUNYA</t>
  </si>
  <si>
    <t>Maki</t>
  </si>
  <si>
    <t>https://pbs.twimg.com/media/DsrHCZMVAAAuZtH.jpg</t>
  </si>
  <si>
    <t>PPCsVox_Essential</t>
  </si>
  <si>
    <t>Muy bueno el artículo de @Pablo_Iglesias_ en Tribuna del país. Solo un pero, cuando habla de patria para dejar claro que se siente español y que a mí me suena a nacionalismo español. No creo que te ganes a ningún español convencido y sí lo contrario con muchos españoles normales.</t>
  </si>
  <si>
    <t>juanjo</t>
  </si>
  <si>
    <t>Hoy en la SER como siempre Pablo Iglesias dando una lección de inteligencia y moralidad</t>
  </si>
  <si>
    <t>Una bandera española en el perfil de Twitter o en el coche = chungo</t>
  </si>
  <si>
    <t>ciudadano del mundo</t>
  </si>
  <si>
    <t>Juan Luis Cascales</t>
  </si>
  <si>
    <t>José Luis Gómez</t>
  </si>
  <si>
    <t>La monarquía sirve para representar a todos los españoles. Y que no te quepa la menor duda, ante un Rey como Felipe o un presidente de la República como tú o @Pablo_Iglesias_ siempre, siempre, SIEMPRE, mejor el Rey RT @agarzon: Muy buen artículo de @Pablo_Iglesias_ publicado hoy: “¿Para qué sirve hoy la monarquía?” Totalmente de acuerdo con su conclusión: una nueva república será la mejor garantía para una España unida, justa y democrática.</t>
  </si>
  <si>
    <t>Pablo Iglesias Turrión en La Ser: todo el mundo sabe que la moción de censura salió porque en Podemos nos lo curramos mucho, si no salen los presupuestos es porque P. Sánchez no se lo curra. Pablo I. huele elecciones y vuelve a ser el hipócrita de siempre.</t>
  </si>
  <si>
    <t>Alcantarilla, España</t>
  </si>
  <si>
    <t>Tecnico Informático y maestro de inglés. 50% Murcianiko y 50% Galleguiño vaya mezclas 😎</t>
  </si>
  <si>
    <t>Licenciado en Biológicas y en Veterinaria. Siempre contra la corriente. Yo sí recuerdo cómo era mi país antes del 82</t>
  </si>
  <si>
    <t>Felipe Alcaraz</t>
  </si>
  <si>
    <t>Hay alternativas reales, pero solo en el seno de un proceso constituyente. La república le daría sentido integral a una democracia demediada. @Pablo_Iglesias_</t>
  </si>
  <si>
    <t>Está en la calle "La mujer invisible", aunque no se vea, o algunos no la vean. Mi última novela, editada por Almuzara. Un tratado de invisibilidad violeta.</t>
  </si>
  <si>
    <t>JUAN CEPEDA</t>
  </si>
  <si>
    <t>#ParaQuéSirveLaMonarquía Para que un indecente como @Pablo_Iglesias_ alias el chepa y @pnique puedan decir libremente lo que piensan y que ellos jamás tolerarían en los que no piensan como ellos</t>
  </si>
  <si>
    <t>Pablo Iglesias, en @HoyPorHoy: "El Partido Popular utiliza los jueces para no ir a la cárcel y eso es repugnante" DIRECTO →</t>
  </si>
  <si>
    <t>ECONOMISTA</t>
  </si>
  <si>
    <t>https://pbs.twimg.com/media/DsrGKAwUwAAX-xX.jpg</t>
  </si>
  <si>
    <t>Vidente natural y Clarividente</t>
  </si>
  <si>
    <t>Para que @Pablo_Iglesias_ le regale juego de tronos. RT @lameriluli: #ParaQuéSirveLaMonarquía 1)Para matar elefantes 2)Para robar dinero 3)Para que se peleen nuera/suegra 4)Para que los primos del monarca ensalzen a un dictador. El "Rey reina pero no gobierna" aunque no dice nada de los negocios paralelos que hacen...😒#AmiNoMeHanPreguntado 📩</t>
  </si>
  <si>
    <t>https://twitter.com/lameriluli/status/1065532108381347841</t>
  </si>
  <si>
    <t>Marilyn Huerta</t>
  </si>
  <si>
    <t>Pepe Mújica: "Pablo Iglesias se equivocó, no tiene vuelta"</t>
  </si>
  <si>
    <t>Hola, soy Mario Sántos, vidente natural y clarividente. Experto en consultas sentimentales y relaciones de pareja, sin descartar otros temas. Llamame.</t>
  </si>
  <si>
    <t>http://dlvr.it/QrvyBr</t>
  </si>
  <si>
    <t>https://pbs.twimg.com/media/DsrF8Q7VsAEUrIK.jpg</t>
  </si>
  <si>
    <t>Guayaquil, Ecuador</t>
  </si>
  <si>
    <t>Lo primero es la familia y los valores de casa. Dios protege mi hogar.</t>
  </si>
  <si>
    <t>Irene Sevilla</t>
  </si>
  <si>
    <t>.@Albert_Rivera recalca a @Pablo_Iglesias_ que el problema de España no es el Rey, sino populismos y nacionalismos</t>
  </si>
  <si>
    <t>https://www.europapress.es/nacional/noticia-rivera-recalca-iglesias-problema-espana-no-monarquia-populismo-20181122130813.html</t>
  </si>
  <si>
    <t>Periodista de Europa Press en el Congreso. Las opiniones son mías y sólo mías.</t>
  </si>
  <si>
    <t>Finna Ruiz</t>
  </si>
  <si>
    <t>Pero qué manera de incendiar la política tiene Alberto Rivera en el Congreso viendo a los diputados da vergüenza ajena en vez de hablar de paro,sanidad, medioambiente parece una taberna barriobajera @Pablo_Iglesias_ ojiplatica estoy</t>
  </si>
  <si>
    <t>Lupe Juliá</t>
  </si>
  <si>
    <t>Ha tardado 5 minutos Pablo Iglesias en sacar a colación la palabra "sensato" (entrevista en Hoy por Hoy, La Ser)</t>
  </si>
  <si>
    <t>Hola 🌎 Nací en un siglo y vivo en otro.</t>
  </si>
  <si>
    <t>Torredembarra</t>
  </si>
  <si>
    <t>Pienso global, actúo local.</t>
  </si>
  <si>
    <t>Jorge de Lorenzo</t>
  </si>
  <si>
    <t>Subida del salario mínimo beneficia a la salud @AhoraMadrid @MADRID @Pablo_Iglesias_ @Irene_Montero_ @anamirandapaz @UGTMadrid @LmReillo @toxo @OscarSanchez @emparpm @pepecampostruji @jaimecedrun @FJavierLopezM @jcarlosgonz @CCOO @MadridSindical @JSMadrid</t>
  </si>
  <si>
    <t>Pablo Iglesias, en @HoyPorHoy: "Si la Unión Europea sigue imponiendo políticas de miserias lo que hemos visto en Italia y en otro países donde está emergiendo el fascismo podría ocurrir en España" DIRECTO →</t>
  </si>
  <si>
    <t>http://www.lacelosia.com/la-mejora-del-salario-minimo-tiene-efectos-positivos-en-la-salud-segun-un-estudio-realizado-en-estados-unidos/</t>
  </si>
  <si>
    <t>https://pbs.twimg.com/media/DsrFcXIV4AEGTtd.jpg</t>
  </si>
  <si>
    <t>https://pbs.twimg.com/media/Dsmv3ZlW0AI-D26.jpg</t>
  </si>
  <si>
    <t>Periodista activista, temas sociales</t>
  </si>
  <si>
    <t>http://queunperiodico.blogspot.com/</t>
  </si>
  <si>
    <t>Podemos Melilla</t>
  </si>
  <si>
    <t>✅40 años después de la Transición tenemos que preguntarnos: ⁉️¿Sigue siendo útil la monarquía para nuestra democracia?⁉️ #ParaQuéSirveLaMonarquía @Pablo_Iglesias_  👇👇</t>
  </si>
  <si>
    <t>https://bit.ly/2R9T9DK</t>
  </si>
  <si>
    <t>Melilla</t>
  </si>
  <si>
    <t>#SíSePuede. contacto@melilla.podemos.info</t>
  </si>
  <si>
    <t>https://www.facebook.com/Podemos-Melilla-306116759552321/?ref=hl</t>
  </si>
  <si>
    <t>Alberto de Jesús</t>
  </si>
  <si>
    <t>#SiALosEncierosDeAmpuero Los encierros de Ampuero merecen ser reconocidos como Fiestas de Interés Turístico Nacional  @RevillaMiguelA @Albert_Rivera @sanchezcastejon @pablocasado_ @Pablo_Iglesias_ RT @Alberto_deJesus: Los encierros de Ampuero merecen ser reconocidos como Fiestas de Interés Turistico Nacional</t>
  </si>
  <si>
    <t>Alberto Gómez</t>
  </si>
  <si>
    <t>Pablo Iglesias en la Ser diciendo que es patrioterismo defender la negociación bilateral sobre Gibraltar. No entiendo que se defienda la autodeterminación en Cataluña y no donde si está reconocido que hay una colonia. La última de UE. No es patrioterismo, es derecho internacional</t>
  </si>
  <si>
    <t>https://www.mundotoro.com/noticia/revilla-no-es-una-maravilla/1398014
https://twitter.com/Alberto_deJesus/status/1065566855631437825
https://www.facebook.com/albertodjesus/posts/2404591276278156</t>
  </si>
  <si>
    <t>Taurino Director revista Bous al Carrer de festejos populares http://www.bousalcarrer.com Fotógrafo taurino de @Revista6Toros6, http://mundotoro.com y agencias</t>
  </si>
  <si>
    <t>Escritor y periodista. Editor en @edcarpenoctem y @seuratediciones. Director en @Comunicaymas. Insomne</t>
  </si>
  <si>
    <t>http://www.albertogomezvaquero.es</t>
  </si>
  <si>
    <t>Andrés Arau</t>
  </si>
  <si>
    <t>Mira @Pablo_Iglesias_ , nos parecemos. Un abrazo</t>
  </si>
  <si>
    <t>https://pbs.twimg.com/media/Dsmu0e5XoAAK2_I.jpg</t>
  </si>
  <si>
    <t>mexico city</t>
  </si>
  <si>
    <t>Elisa Boberg</t>
  </si>
  <si>
    <t>Mira @Pablo_Iglesias_ , resulta que el @CasaReal dice lo mismo que dices tú sobre los derechos de las personas en Internet, solo que él lo hace por la libertad de todos. Estaís consiguiendo más monárquicos que nunca. #ParaQuéSirveLaMonarquía</t>
  </si>
  <si>
    <t>Pablo Iglesias, en @HoyPorHoy: "Voy a seguir trabajando discretamente par que Manuela Carmena vuelva a ser alcaldesa de Madrid" EN DIRECTO →</t>
  </si>
  <si>
    <t>https://www.abc.es/espana/casa-real/abci-tras-spam-politico-derechos-personas-deben-estar-protegidos-internet-201811221236_noticia.html</t>
  </si>
  <si>
    <t>https://pbs.twimg.com/media/DsrEnMyVAAAVRcS.jpg</t>
  </si>
  <si>
    <t>y en el mundo, en conclusión,todos sueñan lo que son,aunque ninguno lo entiende..</t>
  </si>
  <si>
    <t>Ramón Espinar</t>
  </si>
  <si>
    <t>A 40 años de la aprobación de la constitución la Corona tiene un papel difuso y no articula consensos. Divide, no suma La España del siglo XXI está por hacer. Estupendo artículo de @Pablo_Iglesias_ apuntando en la dirección del patriotismo constituyente</t>
  </si>
  <si>
    <t>EsPPaña nos roba, pero !Viva el Rey, coño!</t>
  </si>
  <si>
    <t>Ojo a la entrevista que está haciendo en estos momentos Pepa Bueno a Pablo Iglesias en la Cadena Ser. @herreraencope</t>
  </si>
  <si>
    <t>Secretario General de Podemos en la Comunidad de Madrid y Portavoz en el Senado. Tiene que llover a cántaros. Instagram: https://www.instagram.com/espinar/</t>
  </si>
  <si>
    <t>https://www.facebook.com/RamonEspinar/</t>
  </si>
  <si>
    <t>Albertix #UnidasRumbo2019</t>
  </si>
  <si>
    <t>en el indómito sur.</t>
  </si>
  <si>
    <t>Estamos construyendo un país para su gente, una España feminista que no sea de élites y corruptos, democrática y moderna. Pero la monarquía ha tomado partido por la España vieja, anacrónica... así que... #ParaQuéSirveLaMonarquía ? Con @Pablo_Iglesias_</t>
  </si>
  <si>
    <t>Gaditano,andaluz y después d los después,ya si eso,la marea està baja y el levante en Calma,podria ser Español...pero ese d pulserita,Misa y semanasantista !no!</t>
  </si>
  <si>
    <t>Alberto, TICs💻 centrado en el cambio. Podemos es nueva tecnología de la política. 💜: familia,rock,teatro... 💭👁️: El futuro de CAMBIO✊</t>
  </si>
  <si>
    <t>javiCuesta</t>
  </si>
  <si>
    <t>Las tres generaciones Celebramos Música y República III. #CaminoDeLaRepública @PorLaIII @protestona1 @agarzon @MonederoJC @Pablo_Iglesias_ @pnique @ahorapodemos @AdelanteAND</t>
  </si>
  <si>
    <t>https://pbs.twimg.com/media/DsmsyrFWkAEzwg8.jpg</t>
  </si>
  <si>
    <t>Siempre la música transmite la liberación de los pueblos. Viva la Cumbia y el Flamenco. Repúblicano, Anticapitalista, Antiinjusticias.</t>
  </si>
  <si>
    <t>Mario Hernández</t>
  </si>
  <si>
    <t>Para mucho más que @ahorapodemos @Pablo_Iglesias_ y @el_pais , para que nos vamos a engañar ....#SantaCecilia #FelizJueves</t>
  </si>
  <si>
    <t>Axtwa Min</t>
  </si>
  <si>
    <t>A Pablo Iglesias no le preocupa que se mangonee a los jueces, lo que realmente le preocupa es QUIEN los mangonea, si fuera él todo correcto.</t>
  </si>
  <si>
    <t>https://pbs.twimg.com/media/DsmseW6XgAUDH0p.jpg</t>
  </si>
  <si>
    <t>En algún lugar de la Mancha</t>
  </si>
  <si>
    <t>Axtwa Min es mi Nick de guerra para jugar videojuegos ya que prefiero personajes femeninos como representantes de mi avatar desde Tomb Raider.</t>
  </si>
  <si>
    <t>https://www.youtube.com/channel/UCMmDtv1DNZAlifK9acQYr4Q</t>
  </si>
  <si>
    <t>🔻</t>
  </si>
  <si>
    <t>Genial @Pablo_Iglesias_ hoy en @el_pais</t>
  </si>
  <si>
    <t>Pablo Iglesias, en @HoyPorHoy: "Me parece muy bien que Carmena tenga su propio partido, el que tenga su propio espacio político es bueno para que todos podamos llegar a un acuerdo para hacer una candidatura ganadora" EN DIRECTO →</t>
  </si>
  <si>
    <t>fins a la victòria, sempre ✊🏼</t>
  </si>
  <si>
    <t>📣 La marea verde y blanca de #AdelanteAndalucía llega este sábado a #Sevilla. 👨‍🦰👩 Actazo en #Fibes con @agarzon, @Pablo_Iglesias_ , @MailloAntonio y @TeresaRodr_. ¡No te lo pierdas! 💚 🎟 Aquí podéis reservar vuestras entradas:</t>
  </si>
  <si>
    <t>http://bit.ly/2Tw2Aid</t>
  </si>
  <si>
    <t>https://pbs.twimg.com/media/DsmqlN3XoAAfATg.jpg</t>
  </si>
  <si>
    <t>Kusku_Rusku</t>
  </si>
  <si>
    <t>#ParaQuéSirveLaMonarquía no se @Pablo_Iglesias_ .... dilo tu anda... Que hasta le regalas series... #AmorEterno</t>
  </si>
  <si>
    <t>https://pbs.twimg.com/media/Dsmqb53WwAAcGZ5.jpg</t>
  </si>
  <si>
    <t>Malaga, Spain</t>
  </si>
  <si>
    <t>⛔️🚯Junta de Andalucía, son unos ladrones. #AntiComunista. @Psoe = Mierda🤮💩. #ReferendumLegal #Justicia, aunque no exista. Amo a los animales. #AntiPodemos 🎸🤘☠️</t>
  </si>
  <si>
    <t>Sophie de Edoras</t>
  </si>
  <si>
    <t>La reflexión necesaria por @Pablo_Iglesias_ #ParaQueSirveLaMonarquia</t>
  </si>
  <si>
    <t>Porteña y luego, argentina. Historiadora medieval. Cuando me vine a vivir a España, me di cuenta que soy un estereotipo.</t>
  </si>
  <si>
    <t>Mariskal De Castilla</t>
  </si>
  <si>
    <t>Hoy @Pablo_Iglesias_ escribe un artículo: #ParaQuéSirveLaMonarquía , justo al día siguiente en el que millones de españoles hemos sido testigos de una de las imágenes más bochornosas de la historia de la democracia en el Congreso: el escupitajo a un Ministro. ¿Casualidad?</t>
  </si>
  <si>
    <t>a las afueras.</t>
  </si>
  <si>
    <t>Jurista; políticamente situado entre la derecha casposa y la izquierda rancia de España.</t>
  </si>
  <si>
    <t>Fernando Durán</t>
  </si>
  <si>
    <t>¿Para qué sirve hoy la monarquía?; por @Pablo_Iglesias_ "Una nueva república será la mejor garantía para una España unida sobre la base del respeto y la libre decisión de sus pueblos y sus gentes". #ParaQuéSirveLaMonarquía 👉 #CaminoDeLaRepública ❤️💛💜</t>
  </si>
  <si>
    <t>Libertad⚖️Democracia</t>
  </si>
  <si>
    <t>Y después publicáis en portada el artículo de Pablo Iglesias diciendo que con una República (gobernada para siempre por la izquierda, lógicamente) estaríamos mejor que con la Monarquía. RT @el_pais: "España es declarado mejor país del mundo para nacer, más sociable para vivir y más seguro para viajar solos. Nuestro nivel democrático está por encima de Bélgica, Francia e Italia. Pese al masoquismo antropológico", pasa todo esto que cuenta Manuel Vicent</t>
  </si>
  <si>
    <t>Plasencia, Extremadura, Spain</t>
  </si>
  <si>
    <t>❤️💛💜 #EnergíasRenovables y tecnología que aportan soluciones: al #MedioAmbiente, pobreza, paro y #CambioClimático. #NuclearesNO #StopCO2. #RealMadrid ⚽️ #UPP</t>
  </si>
  <si>
    <t>Gente, pueblo, arriba y abajo, casta, gobierno de progreso y cambio, Íbex35, oligarquía, patria, bloque monárquico, Trama. PortavozAs. ImbécilAs.</t>
  </si>
  <si>
    <t>Alejandro Guerrero</t>
  </si>
  <si>
    <t>Pues, así de pronto, para que gañanes como tú @Pablo_Iglesias_ o @sanchezcastejon no lleguen a Presidente de España dispuestos a desmantelarlo y venderlo al mejor postor por mantenerse en el "trono" republicano ...</t>
  </si>
  <si>
    <t>Brussels, Belgium</t>
  </si>
  <si>
    <t>Licenciado en Derecho (UV) y Master Derecho Europeo (ULB-IEE).Inspirado por “Algunos hombres buenos” para estudiar derecho y practicar la abogacía para el bien.</t>
  </si>
  <si>
    <t>"¿Para qué sirve hoy la #monarquía?" ( @Pablo_Iglesias_ )  #ParaQueSirveLaMonarquia</t>
  </si>
  <si>
    <t>https://errenteriagorria.blogspot.com/2018/11/para-que-sirve-hoy-la-monarquia-pablo.html</t>
  </si>
  <si>
    <t>https://pbs.twimg.com/media/DsmpNVeXgAABzcI.jpg</t>
  </si>
  <si>
    <t>Inma Cardenas</t>
  </si>
  <si>
    <t>Interesante reflexión sobre #ParaQuéSirveLaMonarquía de @Pablo_Iglesias_</t>
  </si>
  <si>
    <t>Aguilas, Murcia</t>
  </si>
  <si>
    <t>Ender</t>
  </si>
  <si>
    <t>Aquí en Venezuela tenemos la monarquía de los Chavez y ahora la de maduro, despropiaron y robaron fincas,empresas, saquean oro, diamantes etc..5 millones de migrantes, Si los españoles lo desean les enviamos un poco,amigos de @Pablo_Iglesias_ #ParaQuéSirveLaMonarquía</t>
  </si>
  <si>
    <t>Jordi Peña Salvador</t>
  </si>
  <si>
    <t>Pablo Iglesias, este viernes en 'Hoy por hoy'</t>
  </si>
  <si>
    <t>http://cadenaser.com/programa/2018/11/22/hoy_por_hoy/1542900365_285470.html#?ref=rss&amp;format=simple&amp;link=link</t>
  </si>
  <si>
    <t>Comunicador, speaker, blogger, locutor, informático, creador audiovisual y community manager</t>
  </si>
  <si>
    <t>http://jordipsalvador.info</t>
  </si>
  <si>
    <t>Victor Serra Rojas</t>
  </si>
  <si>
    <t>Hola, tontos del culo @ierrejon @ahorapodemos @Pablo_Iglesias_ @MonederoJC @iunida @Esquerra_ERC @cupnacional RT @Leonardo_Padron: Los 35 relojes de lujo del ex-tesorero de Chávez. Pornografía pura.</t>
  </si>
  <si>
    <t>https://twitter.com/Leonardo_Padron/status/1065255674974752768
https://alnavio.com/movil/noticia/16015/actualidad/cada-minuto-del-extesorero-de-hugo-chavez-se-media-en-miles-y-miles-de-euros.html</t>
  </si>
  <si>
    <t>ÜT: 8.611203,-71.670343</t>
  </si>
  <si>
    <t>Periodista Freelance. Venezolano- español. Ciutadans. Vivo en Santa Coloma de Gramenet</t>
  </si>
  <si>
    <t>Carlos</t>
  </si>
  <si>
    <t>Pablo Iglesias levantándose cada mañana temprano, abriendo el armario para acariciar el chándal adidas rojo, amarillo y verde heredado del mismísimo Fidel y susurrándole: "algún día"</t>
  </si>
  <si>
    <t>Elena Pérez</t>
  </si>
  <si>
    <t>Creo que ni Pablo Iglesias es tan Pablo Iglesias como yo @Pablo_Iglesias_</t>
  </si>
  <si>
    <t>https://pbs.twimg.com/media/DsmnLjbXoAUM9o3.jpg</t>
  </si>
  <si>
    <t>Un día levanté la mirada y me enamoré de Madrid. Os invito a mi utopía, de la que soy residente. Por Twitter publico sus leyes.</t>
  </si>
  <si>
    <t>Granada, España</t>
  </si>
  <si>
    <t>Ingeniero en Diseño Industrial y DDP. Actualmente aprendiendo 3D para cine y videojuegos.</t>
  </si>
  <si>
    <t>Santi</t>
  </si>
  <si>
    <t>Ehhh!!! pero según @Pablo_Iglesias_ ojalá España fuese así. Y según @ierrejon que están contentos porque comen 3 veces al día RT @jesusmedinae: (Video) La GNB tortura con "sadismo" intentando penetrarle el trasero con una cabilla a un hombre más la paliza que le dan, muestras de violaciones a los DDHH en Venezuela.</t>
  </si>
  <si>
    <t>https://twitter.com/jesusmedinae/status/975656805501194240</t>
  </si>
  <si>
    <t>pic.twitter.com/a3SpLEHS3y</t>
  </si>
  <si>
    <t>Rossina</t>
  </si>
  <si>
    <t>¯\_(ツ)_/¯ Coney Island</t>
  </si>
  <si>
    <t>Todos los vicios, con tal de que estén de moda, pasan por virtudes.-Molière ¯\_(•{}*)_/¯</t>
  </si>
  <si>
    <t>Roja, de convicciones fuertes, Igualitaria.</t>
  </si>
  <si>
    <t>Rita Bosaho</t>
  </si>
  <si>
    <t>"Que a la jefatura de Estado se acceda por elecciones y no por fecundación." - @Pablo_Iglesias_ En este país han cambiado muchas cosas, hay una nueva España del 15M, del 8M, con nuevos valores que van en una clara dirección republicana. #ParaQueSirveLaMonarquía</t>
  </si>
  <si>
    <t>https://pbs.twimg.com/media/Dsmli64X4AEnPXx.jpg</t>
  </si>
  <si>
    <t>Licenciada en Historia. Diputada de @ahorapodemos en el Congreso por Alicante</t>
  </si>
  <si>
    <t>Marta Lucía R💜💜</t>
  </si>
  <si>
    <t>Entrevista a Pablo Iglesias a las nueve en la Ser.</t>
  </si>
  <si>
    <t>Víctor Albuerne</t>
  </si>
  <si>
    <t>3 - Cuando @Pablo_Iglesias_ habla de Libertad a uno se le ponen los pelos como escarpias. Su modelo de Libertad, no es otro que las más represivas dictaduras del Mundo. Así que, de nuevo , se demuestra que el Comunismo no es más que una mentira.</t>
  </si>
  <si>
    <t>Amo los animales😻🙉. Nuestros hijos se merecen un mundo mejor. 💜💜UNIDOS PODEMOS.💜💜. Aún creo que existe gente buena y leal.</t>
  </si>
  <si>
    <t>Ante todo, libres para elegir</t>
  </si>
  <si>
    <t>2- La transición, diga lo que diga el comunista @Pablo_Iglesias_ la hicieron los franquistas y los comunistas, cerrando la guerra civil y sentando las bases de la prosperidad de España, de una España en Libertad.</t>
  </si>
  <si>
    <t>🎗Carl Von Clauswitz🎗</t>
  </si>
  <si>
    <t>Pablo Iglesias publica en El País, el diario “independiente” de la mañana – . Tu diario de izquierdas (Compartir desde Armorfly Browser)</t>
  </si>
  <si>
    <t>Imaginemos lo que uniría a todos una República presidida por @Pablo_Iglesias_ RT @Irene_Montero_: La monarquía es hoy una institución que divide. España necesita más democracia, más fraternidad, menos privilegios para los de siempre, más igualdad. Es lo que escribe hoy @Pablo_Iglesias_ en este artículo👇🏽🗞 #ParaQuéSirveLaMonarquía</t>
  </si>
  <si>
    <t>http://insurgente.org
http://insurgente.org/pablo-iglesias-publica-en-el-pais-el-diario-independiente-de-la-manana/</t>
  </si>
  <si>
    <t>https://twitter.com/Irene_Montero_/status/1065545602002546688
https://elpais.com/elpais/2018/11/21/opinion/1542806031_921444.html</t>
  </si>
  <si>
    <t>Miquel Puente</t>
  </si>
  <si>
    <t>#ParaQuéSirveLaMonarquía❓ "Desde el momento en que la monarquía ya no es el precio a pagar para contar con un sistema de libertades (...) su función histórica para la democracia española ha perdido su sentido" Opinión @Pablo_Iglesias_ en @el_pais</t>
  </si>
  <si>
    <t>Xocas</t>
  </si>
  <si>
    <t>D'esquerres de naixement. Amant de la mare dels meus fills. Liat amb els temes de participació, afiliació i xarxes a CCOO de Catalunya (Twitter personal)</t>
  </si>
  <si>
    <t>Sobre la opinión de Pablo Iglesias sobre la monarquía sólo puedo decir que ni la he leído ni la voy a leer por carecer de interés para mí. #YoConfieso</t>
  </si>
  <si>
    <t>1-El discurso de un bolchevique. Y ya se sabe como acabó el Zar. Por otra parte, la cita sobre que ETA no ha conseguido ni uno solo de sus objetivos no es más que una mentira. Los ha conseguido casi todos. Pue eso, el comunista @Pablo_Iglesias_ a lo suyo.</t>
  </si>
  <si>
    <t>Son Xocas, un tuitero de aldea, como quen di un ninguén. Aquí se viene con la ironía aprendida. Los Rts son de su dueño.</t>
  </si>
  <si>
    <t>Eugenio</t>
  </si>
  <si>
    <t>Pablo Iglesias propone una 'boda roja' soft para la monarquía y reivindica la república vía @informalia</t>
  </si>
  <si>
    <t>Guille Sánchez</t>
  </si>
  <si>
    <t>Después de una año y medio vetado editorialmente el Sec. Gral. del tercer Partido de España, @Pablo_Iglesias_ escribe hoy en @elpais_espana . Grande!!! Tribuna | ¿Para qué sirve hoy la monarquía?; por Pablo Iglesias  vía @el_pais</t>
  </si>
  <si>
    <t>Burgdorf, Suiza</t>
  </si>
  <si>
    <t>Ignacio Ity</t>
  </si>
  <si>
    <t>De momento para evitar q personajes como el chepa @Pablo_Iglesias_ puedan llegar a jefe de estado, y eso ya es bastante #ParaQuéSirveLaMonarquía</t>
  </si>
  <si>
    <t>Tecnología del botijo</t>
  </si>
  <si>
    <t>Hermann Tertsch viendo necesaria una guerra para impedir una dictadura de Pablo Iglesias vs Hermann Tertsch no viendo necesaria una guerra para impedir una dictadura de Pablo Iglesias.</t>
  </si>
  <si>
    <t>Que más se puede pedir que ser un tío normal....</t>
  </si>
  <si>
    <t>https://pbs.twimg.com/media/Dsq_CNDXcAAWRpa.jpg</t>
  </si>
  <si>
    <t>Botija, España</t>
  </si>
  <si>
    <t>J. Bitaubé</t>
  </si>
  <si>
    <t>Enjoy Botijo®. Antiplagiers. Parodia. Agua y barro.</t>
  </si>
  <si>
    <t>Si dudáis de qué quiere decir "mezclar churras con merinas" esta Tribuna de @Pablo_Iglesias_ es un ejemplo ideal Me quedo con que "la calidad democrática se puede medir" y añado: y España en esos ránkings queda por delante de repúblicas como la Francesa</t>
  </si>
  <si>
    <t>https://www.facebook.com/TecnologiaDelBotijo</t>
  </si>
  <si>
    <t>A medio camino entre liberal y libertario, admirador del pragmatismo más inconcreto, profundamente relativista...¡Ah! Y muy fan de pensar por mi mismo</t>
  </si>
  <si>
    <t>FlatEarth</t>
  </si>
  <si>
    <t>A ver @ahorapodemos y compañía leeros el mensaje de @spiriman y decidme si no tiene razón.Abajo infraestructuras de coliguis. @eldiarioes @publico_es @voz_populi @caval100 @el_pais @bbcmundo @Julio_Rodr_ @20m @Pablo_Iglesias_ @iescolar</t>
  </si>
  <si>
    <t>https://youtu.be/OnNbm-tr-vE</t>
  </si>
  <si>
    <t>La tierra no es como nos han enseñado</t>
  </si>
  <si>
    <t>Antonio Fidalgo</t>
  </si>
  <si>
    <t>Hola @sanchezcastejon @pablocasado_ @Albert_Rivera @Pablo_Iglesias_ ¿Os explicáis? ¿O luego insistiréis en que el peligro son las RRSS, la postverdad, Putin, Trump, el Brexit, etc...?</t>
  </si>
  <si>
    <t>https://pbs.twimg.com/media/DsmgHMhUcAA6O2J.jpg</t>
  </si>
  <si>
    <t>Gonzalo</t>
  </si>
  <si>
    <t>España debe terminar de convertirse en una democracia moderna' dice @Pablo_Iglesias_ ¿Como Venezuela? ¿Como Cuba? Felipe VI sirve para unir lo que tú y los nazionalistas catalanes/vascos queréis romper. @hermanntertsch @perezreverte @cultrun @vicentelozano @ALevySoler RT @Pablo_Iglesias_: España debe terminar de convertirse en una democracia moderna. Una nueva república será la mejor garantía para una España unida sobre la base del respeto y la libre decisión de sus pueblos y sus gentes. #ParaQuéSirveLaMonarquía.</t>
  </si>
  <si>
    <t>Alfonso Rojo López</t>
  </si>
  <si>
    <t>Dance Me To The End Of Love</t>
  </si>
  <si>
    <t>Pepe Mújica: 'Pablo Iglesias se equivocó, no tiene vuelta'</t>
  </si>
  <si>
    <t>Podemos en Europa</t>
  </si>
  <si>
    <t>"Desde el momento en que la monarquía ya no es el precio a pagar para contar con un sistema de libertades su función histórica para la democracia española ha perdido su sentido." @Pablo_Iglesias_ #ParaQuéSirveLaMonarquía 🗞</t>
  </si>
  <si>
    <t>http://www.periodistadigital.com/ocio-y-cultura/cine-y-teatro/2018/11/23/pepe-mujica-ex-presidnete-de-uruguay-pablo-iglesias-se-equivoco-no-tiene-vuelta.shtml</t>
  </si>
  <si>
    <t>https://pbs.twimg.com/media/DsmZZ9PW0AEoxr3.jpg</t>
  </si>
  <si>
    <t>Cuenta oficial. Información de las/os cinco europarlamentarias/os de Podemos: @LolaPodemos, @TaniaGonzalezPs, @MiguelUrban, @etorrespodemos y @XabierBenito.</t>
  </si>
  <si>
    <t>Director de Periodista Digital. Cuenta Oficial</t>
  </si>
  <si>
    <t>El Socialismo es muerte</t>
  </si>
  <si>
    <t>Solo te puede salvar, la imposición de manos del gran líder machirulo @Pablo_Iglesias_ 😂😂😂😂😂 RT @Mariagtriana: Un círculo de Podemos asegura que la quimioterapia envenena a los pacientes de cáncer . Esto es para llevarlo a la Fiscalía.Jugar de forma tan SUCIA con Enfermos Oncológicos ,es para qué los encierren a todos. No pueden ser más Miserables. VOMITIVO .</t>
  </si>
  <si>
    <t>https://twitter.com/mariagtriana/status/1065522370641870848
https://okdiario.com/espana/2018/11/22/circulo-podemos-asegura-que-quimioterapia-envenena-pacientes-cancer-3376342#.W_ZoGYNAflA.twitter</t>
  </si>
  <si>
    <t>Diego Gaspar Celaya</t>
  </si>
  <si>
    <t>La Venta el Nabo</t>
  </si>
  <si>
    <t>Si eres socialista, eres cómplice de Hitler, Mussolini, Stalin,Lenin,Castro, y demás animales asesinos. En la actualidad cómplice del exterminio venezolano.</t>
  </si>
  <si>
    <t>mario</t>
  </si>
  <si>
    <t>En un país como españa la monarquia sirve para que @Pablo_Iglesias_ tenga la libertad para escribir este artículo #ParaQuéSirveLaMonarquía</t>
  </si>
  <si>
    <t>Escondido en Twitter huyendo de aduladores que buscan en mi su propio beneficio. Quiero ser lo que soy PADRE, HIJO, HERMANO, AMIGO y arquitecto</t>
  </si>
  <si>
    <t>Doc. en Historia, profesor en UAH, gestor de proyectos y un tio feliz sobre dos ruedas.</t>
  </si>
  <si>
    <t>https://uah-es.academia.edu/DiegoGasparCelaya</t>
  </si>
  <si>
    <t>Joan Miquel Morales</t>
  </si>
  <si>
    <t>España tragó con el heredero de Franco a cambio de democracia, y el heredero, poco a poco y con la ayuda de los grandes medios, se hizo querer por amplios sectores de la ciudadanía'. Acertado artículo de @Pablo_Iglesias_.</t>
  </si>
  <si>
    <t>✈SCQ✈MAD✈SVQ✈MAH✈TFE...✈</t>
  </si>
  <si>
    <t>Medical student (Santiago) Graduated in Med Research (Seville) &amp; Tropical Diseases (Tenerife) Passioned for journeys all over the world &amp; interested in politics</t>
  </si>
  <si>
    <t>http://viajaconjuanmi.blogspot.com.es/</t>
  </si>
  <si>
    <t>JC.Rodriguez.Navarro</t>
  </si>
  <si>
    <t>🔴COSAS QUE NO SE DEBEN PERDONAR, NI OLVIDAR. De esto no dicen nada los de @ahorapodemos #ElChepa alias @Pablo_Iglesias_ cobrador y tenedor de cuentas en Paraísos Fiscales @pnique @ierrejon 🤮🤮🤮🤮🤮</t>
  </si>
  <si>
    <t>https://pbs.twimg.com/media/DsmcEQpXQAARANb.jpg</t>
  </si>
  <si>
    <t>Santo Tome  ( Jaén)</t>
  </si>
  <si>
    <t>Emprendedor en el sector de la madera. Emigrante retornado, avergonzado de ver, a su País destrozado, corrupto por una casta política mediocre y sin Justicia.</t>
  </si>
  <si>
    <t>Desmontando al falaz Pablo Iglesias en tres tuits</t>
  </si>
  <si>
    <t>Barcelona Fixer</t>
  </si>
  <si>
    <t>Buena reflexión sobre la #monarquia en @elpais_espana por @Pablo_Iglesias_ más debate y más votar en referéndum.</t>
  </si>
  <si>
    <t>https://pbs.twimg.com/media/DsmdIwXXcAAT_I_.jpg</t>
  </si>
  <si>
    <t>Storymaker, Video Content for television &amp; Internet.</t>
  </si>
  <si>
    <t>http://djtalmedia.com/en/fixer-barcelona/</t>
  </si>
  <si>
    <t>Boicot Cat. !!Ya!! 🇪🇸</t>
  </si>
  <si>
    <t>¿Os imaginais a @Irene_Montero_ o a @Pablo_Iglesias_ de Jefes de Estado? Yo me quedo con @CasaReal RT @Irene_Montero_: La monarquía es hoy una institución que divide. España necesita más democracia, más fraternidad, menos privilegios para los de siempre, más igualdad. Es lo que escribe hoy @Pablo_Iglesias_ en este artículo👇🏽🗞 #ParaQuéSirveLaMonarquía</t>
  </si>
  <si>
    <t>Juan Alonso Velarde</t>
  </si>
  <si>
    <t>Andaluz y español. CATALUÑA es ESPAÑA AntiIndependentista y AntiPodemos.</t>
  </si>
  <si>
    <t>http://www.youtube.com/channel/UCT6Zy6dkQsfxARRlPOjbn0A</t>
  </si>
  <si>
    <t>Andros173 🌈🎗️🔻</t>
  </si>
  <si>
    <t>El impulso constituyente que empujó el 15-M y hoy el mov feminista apunta en dirección republicana; instituciones que protejan a la gente antes que figuras de autoridad inamovibles, que representen fraternidad. 🖊️@Pablo_Iglesias_  #ParaQuéSirveLaMonarquía</t>
  </si>
  <si>
    <t>http://cort.as/-CJMf</t>
  </si>
  <si>
    <t>https://pbs.twimg.com/media/DsmbRUDXcAA-nh6.jpg</t>
  </si>
  <si>
    <t>Aurelio Fernández</t>
  </si>
  <si>
    <t>El vicepresidente primero del Gobierno, Pablo Iglesias, convoca al máximo órgano de Podemos ante la inminencia de un adelanto electoral. No hay mejor indicio de que Pedro Sánchez ya ha tomado una decisión.</t>
  </si>
  <si>
    <t>Arrasate, Euskal Herria</t>
  </si>
  <si>
    <t>Pasaba por aquí... y me acabé liando. Diseñador gráfico y web y militante de #Podemos en @Ahalduguarrasat y @BaleikeArrasate ¡Sí se puede!</t>
  </si>
  <si>
    <t>Periodista. Director general de Publicaciones de Unidad Editorial. Más periodismo y menos vedetismo.</t>
  </si>
  <si>
    <t>Isidre Llussà 2.0</t>
  </si>
  <si>
    <t>#ParaQuéSirveLaMonarquía visca el Rei! Gràcies @CasaReal por defendernos de los que siembran odio y discordia para obtener beneficios a corto plazo como @Pablo_Iglesias_ o @sanchezcastejon @QuimTorraiPla Otegui...</t>
  </si>
  <si>
    <t>Barcelona, Tabarnia, Spain</t>
  </si>
  <si>
    <t>Un cop vist que Puigmeló fuig davant el poder espanyol, em dedicaré en cos i ànima a la dafensa de Tabarnia! Tabarnia País, Bruch Capital!</t>
  </si>
  <si>
    <t>Universo de A</t>
  </si>
  <si>
    <t>¿Queréis saber #ParaQueSirveLaMonarquia?, pues para que la ultraizquierda más peligrosa y dictatorial no se haga con el poder... y @Pablo_Iglesias_ lo sabe. Un artículo plagado de sofismos, sectarismo e ingratitud. ¿Para qué más sirve?, aquí la respuesta:  RT @ahorapodemos: 🖊 Artículo de @Pablo_Iglesias_: #ParaQuéSirveLaMonarquía. Una reflexión sobre la legitimidad de la monarquía en España y sobre la evolución de nuestra democracia.</t>
  </si>
  <si>
    <t>https://wp.me/p16XrI-76
https://twitter.com/ahorapodemos/status/1065501742463418373
https://elpais.com/elpais/2018/11/21/opinion/1542806031_921444.html</t>
  </si>
  <si>
    <t>Reino de España</t>
  </si>
  <si>
    <t>Universo de A es un blog donde se escribe sobre todo aquello considerado de interés. Es además, la invitación a una conversación con los lectores.</t>
  </si>
  <si>
    <t>http://universodea.wordpress.com/</t>
  </si>
  <si>
    <t>Jacobo Ahufinger</t>
  </si>
  <si>
    <t>EVIL @Pablo_Iglesias_ ❓ Este caballero de fina coleta, seguro que vendería su charlete para darle de comer y refugio a su pueblo q va a pique. ¿No, @AdaColau g? RT @eldiarioes: Hermann Tertsch cree que la monarquía sirve "para evitar que sea necesaria una guerra para impedir una dictadura de Pablo Iglesias"</t>
  </si>
  <si>
    <t>https://twitter.com/eldiarioes/status/1065551462367813632
https://www.eldiario.es/rastreador/Hermann-Tertsch-monarquia-Pablo-Iglesias_6_838576136.html</t>
  </si>
  <si>
    <t>https://pbs.twimg.com/media/DsmYin-XQAEnw_Q.jpg</t>
  </si>
  <si>
    <t>Ambivalente, surrealista, operístico. Loco x mi padre. Escritor. Licenciado Ugr. Posgrado en Literatura Española Ucm. Profe E/LE reportero d @InfOrmativOsTela5</t>
  </si>
  <si>
    <t>http://jacoboahufinger.blogspot.com.es/</t>
  </si>
  <si>
    <t>En los últimos 40 años, en España han cambiado muchas cosas, y los nuevos valores del 15M y el 8M apuntan claramente en una dirección republicana. 🗞@Pablo_Iglesias_ #ParaQuéSirveLaMonarquía 👇  …</t>
  </si>
  <si>
    <t>https://pbs.twimg.com/media/DsmX-hCWkAEv46D.jpg</t>
  </si>
  <si>
    <t>Berto</t>
  </si>
  <si>
    <t>El País se esconde en un artículo de Pablo Iglesias para masacrar a Felipe VI y hacerle un guiño a los golpistas  vía @Periodistadigit</t>
  </si>
  <si>
    <t>https://www.periodistadigital.com/periodismo/prensa/2018/11/22/elpais-esconde-articulo-pablo-iglesias-para-masacrar-felipe-vi-hacerle-guino-golpistas.shtml</t>
  </si>
  <si>
    <t>Si no estamos de acuerdo hablemos, creó que es la única forma de que todos ganemos, las fronteras son un anacronismo, no tienen sentido son heridas en la tierra</t>
  </si>
  <si>
    <t>Esther</t>
  </si>
  <si>
    <t>#ParaQuéSirveLaMonarquía. Artículo de @Pablo_Iglesias_ donde hace una buena reflexión sobre el papel y la legitimidad de la monarquía en España y sobre la evolución de nuestra democracia 👉🏼📝</t>
  </si>
  <si>
    <t>https://pbs.twimg.com/media/DsmawCtWkAAh8M8.jpg</t>
  </si>
  <si>
    <t>Jose Herrero Garcia</t>
  </si>
  <si>
    <t>#Parla</t>
  </si>
  <si>
    <t>Trabajadora en la sanidad</t>
  </si>
  <si>
    <t>http://podemosparla.org</t>
  </si>
  <si>
    <t>Talavera d la reina</t>
  </si>
  <si>
    <t>un verato en Talavera</t>
  </si>
  <si>
    <t>El País Opinión</t>
  </si>
  <si>
    <t>"Una nueva república será la mejor garantía para una España unida sobre la base del respeto y la libre decisión de sus pueblos y sus gentes" La tribuna de @Pablo_Iglesias_</t>
  </si>
  <si>
    <t>Tarantantán</t>
  </si>
  <si>
    <t>#LaVidaModerna es que Pablo Iglesias se descargue los posts en Ivoox.</t>
  </si>
  <si>
    <t>Cuanto más grande, más tontaco...</t>
  </si>
  <si>
    <t>Sobre todo, opinamos.</t>
  </si>
  <si>
    <t>http://elpais.com/elpais/opinion.html</t>
  </si>
  <si>
    <t>Meri Pita</t>
  </si>
  <si>
    <t>El espíritu del 15M y el 8M han marcado la senda feminista y republicana de la España que viene. Debemos fortalecer nuestra democracia superando un modelo obsoleto y patriarcal. Este artículo de @Pablo_Iglesias_ anima al debate de #ParaQuéSirveLaMonarquía.</t>
  </si>
  <si>
    <t>Canarias</t>
  </si>
  <si>
    <t>Trabajadora. Secretaría de Plurinacionalidad y Diversidad Territorial @AhoraPodemos. Diputada por Canarias. Telegram: 👉🏾https://t.me/MeriPita</t>
  </si>
  <si>
    <t>Fundación Civio</t>
  </si>
  <si>
    <t>A propósito de #ParaQuéSirveLaMonarquía, ¿a quién le dedicarías un Españopoly? Si te haces socio de Civio en #UnEspañopolyPara, le enviaremos un ejemplar dedicado a @Pablo_Iglesias_, a Felipe VI o al político, banquero o empresario que elijas →</t>
  </si>
  <si>
    <t>https://xn--unespaopolypara-3qb.es</t>
  </si>
  <si>
    <t>asr2</t>
  </si>
  <si>
    <t>Pablo Iglesias (Madrid 1978) contando la transición española tal como la vivió (1975-1978) Siempre es interesante conocer la opion de quien protagonizo los hechos  vía @el_pais</t>
  </si>
  <si>
    <t>Vigilamos a los poderes públicos usando periodismo e innovación. Así, logramos cambios. Organización independiente y sin ánimo de lucro. ¡Únete!</t>
  </si>
  <si>
    <t>http://www.civio.es</t>
  </si>
  <si>
    <t>Tercera roca desde el Sol</t>
  </si>
  <si>
    <t>Ni dios, ni patria, ni rey. Cazador de sofismas, tolero todas las ideas pero reconozco que llevo mal el gilipollismo.</t>
  </si>
  <si>
    <t>Nemesis</t>
  </si>
  <si>
    <t>Mal</t>
  </si>
  <si>
    <t>Enhorabuena @Pablo_Iglesias_. Habéis creado un golem.</t>
  </si>
  <si>
    <t>https://pbs.twimg.com/media/DsmX1fBWoAA0hHD.jpg</t>
  </si>
  <si>
    <t>2 pasiones que parecen vicio,la lectura devoro libros me agrada el ritual de comprarlos y evadirme ,la otra pasión es la música pero desde el año 1998 Malú</t>
  </si>
  <si>
    <t>Eurasia</t>
  </si>
  <si>
    <t>Disidente del régimen capitalista español.</t>
  </si>
  <si>
    <t>http://www.youtube.com/playlist?list=PLgVCG-j5U6s4mip7EQDQAJiNIwJ0pfvGI&amp;feature=g-crec-u</t>
  </si>
  <si>
    <t>Podemos Cantabria</t>
  </si>
  <si>
    <t>40 años después de la Transición tenemos que preguntarnos: ¿Sigue siendo útil la monarquía para nuestra democracia? #ParaQuéSirveLaMonarquía 🖊 Artículo de @Pablo_Iglesias_ 👇</t>
  </si>
  <si>
    <t>Cantabria, España</t>
  </si>
  <si>
    <t>Cuenta oficial de Podemos Cantabria contacto@cantabria.podemos.info</t>
  </si>
  <si>
    <t>http://cantabria.podemos.info</t>
  </si>
  <si>
    <t>Laura Pérez Lacueva</t>
  </si>
  <si>
    <t>Buen artículo de @Pablo_Iglesias_ que aquí comparto, porque leer sirve para pensar, y pensar sirve para saber... informarse y contrastar... y querer saber. RT @Pablo_Iglesias_: España debe terminar de convertirse en una democracia moderna. Una nueva república será la mejor garantía para una España unida sobre la base del respeto y la libre decisión de sus pueblos y sus gentes. #ParaQuéSirveLaMonarquía.</t>
  </si>
  <si>
    <t>Por todos y para todos, ahora y siempre http://www.legalessinfronteras.com</t>
  </si>
  <si>
    <t>http://www.legalessinfronteras.com</t>
  </si>
  <si>
    <t>Nos Manipulan 🔊</t>
  </si>
  <si>
    <t>Pablo Iglesias pide que nadie vote a Unidos Podemos y ni a los partidos independentistas... Camarada coleta, sus deseos son órdenes para mi 😈</t>
  </si>
  <si>
    <t>https://pbs.twimg.com/media/DsqvB6JXoAEyMqt.jpg</t>
  </si>
  <si>
    <t>Barcelona, España 🇪🇸</t>
  </si>
  <si>
    <t>➡️ Soy Español y no soy facha, soy Catalan y no soy independentista. Son dos cosas difíciles de entender para los populistas manipulados de la ‘Raza Superior’.</t>
  </si>
  <si>
    <t>Frasier</t>
  </si>
  <si>
    <t>Hay que ver que POLÍTICA con mayúsculas tenemos en España: Doña Ana Oramas. Por desgracia los medios prefieren darle voz a los payasos como @gabrielrufian @Pablo_Iglesias_ @sanchezcastejon o @JoanTarda RT @anioramas: Hace unos meses intervine en el Pleno hablando precisamente a Gabriel Rufian del odio, del rencor, de la tolerancia y del respeto al contrincante. Hoy más que nunca quiero lanzar este mensaje.</t>
  </si>
  <si>
    <t>Denis</t>
  </si>
  <si>
    <t>https://twitter.com/anioramas/status/1065538913715068928</t>
  </si>
  <si>
    <t>pic.twitter.com/OzUEyQjaH2</t>
  </si>
  <si>
    <t>El RT hay que ganárselo aunque seas un twitstar.</t>
  </si>
  <si>
    <t>El Gobierno ha destituido al abogado del Estado encargado de la causa del 'procés', Edmundo defendía que debía mantenerse la rebelión en la línea de la Fiscalía.@sanchezcastejon, déjate asesorar por @Pablo_Iglesias_ y los demás irás de culo. RT @pedro_fhz: Lo intentaron con Vox, y no pudieron. Fueron a por los Fiscales de Sala del Supremo, y no lo consiguieron. Buscaron al Presidente de la Sala Penal, no lo lograron. Al final, cesaron al Abogado del Estado. Así purgan los sociatas. TODOS SOMOS EDMUNDO BAL</t>
  </si>
  <si>
    <t>AJLeftist</t>
  </si>
  <si>
    <t>El País intenta responder al artículo de Pablo Iglesias y la ola republicana que emerge en nuestro país apelando a la votación en 1978 de una enmienda a la CE en el Congreso. Sería razonable que la forma de Estado la votasen todas y todos los españoles. Así lo dice la propia CE.</t>
  </si>
  <si>
    <t>https://twitter.com/pedro_fhz/status/1065309045316337665
https://www.elconfidencial.com/espana/2018-11-21/justicia-abogado-estado-edmundo-bal-proces_1660618/</t>
  </si>
  <si>
    <t>La utopía sirve para caminar.</t>
  </si>
  <si>
    <t>Emilio Díaz Ramírez</t>
  </si>
  <si>
    <t>¿Para qué sirve hoy la monarquía?; por Pablo Iglesias  vía @el_pais</t>
  </si>
  <si>
    <t>SAI Podemos</t>
  </si>
  <si>
    <t>Una forma de Estado obsoleta y con privilegios medievales no puede formar parte de una sociedad avanzada. #ParaQuésSrveLaMonarquia Magnifico el artículo de @Pablo_Iglesias_</t>
  </si>
  <si>
    <t>Profesional de los Sistemas de Información; apasionado de la lectura, running, caza y demás actividades al aire libre, amigo de sus amigos. ediaz.rms@gmail.com</t>
  </si>
  <si>
    <t>http://ediazrms.wordpress.com</t>
  </si>
  <si>
    <t>VERONICA POLEO</t>
  </si>
  <si>
    <t>Ja! Puedes verlo en los hermanos Castro, Pablo Iglesias y todos los chavistas de closet que bien critican pero les encanta Mickey Mouse y la Gran Manzana! RT @GuaracuchaFB: Asombrada con todos los bienes del gorrión. Me pregunto: "¿Por qué si le echan pestes al imperio no se compran una casa en Margarita, otra en Maracaibo, relojes Casio, un Chery, zapatos RS21, etc? Pendejos que fueran. El socialismo es un gran negocio</t>
  </si>
  <si>
    <t>https://twitter.com/guaracuchafb/status/1065665207362641922</t>
  </si>
  <si>
    <t>SAI. Secretaría de Acción Institucional - Podemos. 👉Instagram: http://Instagram.com/saipodemos/</t>
  </si>
  <si>
    <t>https://podemos.info/accion-institucional/</t>
  </si>
  <si>
    <t>Es hora de hacer portátil a nuestro país 🇻🇪</t>
  </si>
  <si>
    <t>Hermann Tertsch</t>
  </si>
  <si>
    <t>No sabrá Usted @tony73 a qué república se refiere Pablo Iglesias. Otros lo sabemos perfectamente. RT @tony73_: A qué república se refiere Pablo Iglesias? Porque, claro, no sabemos si es a Alemania, Francia, Estados Unidos o más bien a Cuba, Venezuela Corea del Norte o la República Popular China. La diferencia entre ambos grupos es el respeto a la libertad, propiedad privada y a la Vida.</t>
  </si>
  <si>
    <t>Irene Montero</t>
  </si>
  <si>
    <t>La monarquía es hoy una institución que divide. España necesita más democracia, más fraternidad, menos privilegios para los de siempre, más igualdad. Es lo que escribe hoy @Pablo_Iglesias_ en este artículo👇🏽🗞 #ParaQuéSirveLaMonarquía</t>
  </si>
  <si>
    <t>Periodista, ABC. Siempre razonablemente estupefacto.</t>
  </si>
  <si>
    <t>Psicóloga, madre, #Feminista, por la vivienda digna. Portavoz de Unidas Podemos - ECP - EM. Yo por ellas, madre, y ellas por mí.</t>
  </si>
  <si>
    <t>https://www.instagram.com/i_montero_/?hl=es</t>
  </si>
  <si>
    <t>trinitrotolueno</t>
  </si>
  <si>
    <t>asumira alguna responsabilidad @Pablo_Iglesias_ por el show que van a protagonizar los Carmenitas de cara a las elecciones municipakles en Madrid, lo digo por como se le llenaba la boca en su momento con el nombramiento a dedo de Carmena</t>
  </si>
  <si>
    <t>PacoPá</t>
  </si>
  <si>
    <t>La Monarquía, ⁦@Pablo_Iglesias_⁩ , es una Institución del Estado tan necesaria como otras, pongamos por ejemplo, los partidos políticos como el suyo. Minimizar -como hace- el voto a favor que supuso la CE78 sólo empequeñece su pretendida didáctica.</t>
  </si>
  <si>
    <t>Escribir. Mirar. Escuchar. Beber. Amar... ¡Vivir!</t>
  </si>
  <si>
    <t>Jose M. Perez Afonso</t>
  </si>
  <si>
    <t>"Desde el momento en que la monarquía ya no es el precio a pagar para contar con un sistema de libertades, su función histórica para la democracia española ha perdido su sentido" @Pablo_Iglesias_ Sublime e certero. Moi recomendable lectura</t>
  </si>
  <si>
    <t>FRICO</t>
  </si>
  <si>
    <t>El otro día @pedroj_ramirez en @eslamananadeFJL dudaba del sentido democrático de @Ortega_Smith, es curioso, después le gusta entrevistar a Pablo Iglesias jugando al tenis de mesa o irse al Desayuno de la Oración con ZP. @Santi_ABASCAL @vox_es #EspañaViva</t>
  </si>
  <si>
    <t>lugo,Galicia</t>
  </si>
  <si>
    <t>Músico e Mestre.Creo no cambio.Non importa de qué loitas vimos,importan as que compartiremos para construir futuro xuntas! Sec. Formación e Área interna de PG</t>
  </si>
  <si>
    <t>Soliloquio</t>
  </si>
  <si>
    <t>Anoche @sanchezcastejon le pedía a @Pablo_Iglesias_ explicara porqué la caravana de migrantes iba a USA en vez de a Cuba o Vzla...y Pablo le respondió: cállate gilipollas y vete donde los Castros Boys que hay mandado que hacer!</t>
  </si>
  <si>
    <t xml:space="preserve">El Cafetal. Venezuela </t>
  </si>
  <si>
    <t>Comunidad virtual de vecinos de Sta Sofía, El Cafetal. Caracas</t>
  </si>
  <si>
    <t>Le</t>
  </si>
  <si>
    <t>Español, madrileño y pepinero.</t>
  </si>
  <si>
    <t>Georgina 🇪🇸🇮🇹🇺🇸</t>
  </si>
  <si>
    <t>Problemas para comprar coches con combustible alternativo #BuenosDias  @Pablo_Iglesias_ @pablocasado_ @TeresaRodr_ @Albert_Rivera</t>
  </si>
  <si>
    <t>Vicente Arias</t>
  </si>
  <si>
    <t>Pablo Iglesias ha expuesto de una manera totalmente aséptica el perjuicio que supone seguir manteniendo una forma de estado que lejos de beneficiarnos supone un ancla para el completo desarrollo de una democracia consolidada. Salud y república.</t>
  </si>
  <si>
    <t>https://elrinconcito-georgina.blogspot.com/2018/11/problemas-para-comprar-coches-de.html</t>
  </si>
  <si>
    <t>NS/NC🤫</t>
  </si>
  <si>
    <t>Senior industrial engineer. Fan of @gloriaestefan &amp; @madonna . Aeronautical fan. Las banderas representan los idiomas que hablo. Respeto la libertad politica.</t>
  </si>
  <si>
    <t>Samu Hernández</t>
  </si>
  <si>
    <t>Esto no os interesa frasca. Esto no os da tantos votos como el vídeo de los perros @Pablo_Iglesias_ @PartidoPACMA</t>
  </si>
  <si>
    <t>Galiza</t>
  </si>
  <si>
    <t>Benjamin Franklin: “la felicidad humana no se logra con grandes golpes de suerte, que pueden ocurrir pocas veces en la vida, sino con pequeñas cosas que ocurren</t>
  </si>
  <si>
    <t>https://pbs.twimg.com/media/DsmSKhyX4AAzzXB.jpg</t>
  </si>
  <si>
    <t>Donde el Huebra se encajona</t>
  </si>
  <si>
    <t>Esencia de la cosecha del 93. Madridista y Español. Técnico Sup. en Gestión y Org. de Empresas Agropecuarias (COBADU). Amante del TORO BRAVO Y CON PODER. CRIS♥</t>
  </si>
  <si>
    <t>Di Martin</t>
  </si>
  <si>
    <t>Sete Barbero</t>
  </si>
  <si>
    <t>Pablo Iglesias ¿Dónde está tu tweet condenando la salvaje muerte de dos señoras por los perros del marido de una de ellas? Eso sí que es un acto criminal!!! Te está faltando tiempo INCONGRUENTE...este ni siquiera tenía los perros en orden a diferencia de los de cazadores!!!</t>
  </si>
  <si>
    <t>Por fin parece que @Pablo_Iglesias_ ha empezado a hablar de República, ya era hora fe dejarse de ambigüedades #ParaQuéSirveLaMonarquía</t>
  </si>
  <si>
    <t>Community Manager en @Shealth_es y @uebtv_cat. Antes, en @crackoviadeTV3</t>
  </si>
  <si>
    <t>http://labarberiablog.wordpress.com/</t>
  </si>
  <si>
    <t>RickGrimes</t>
  </si>
  <si>
    <t>Es esto cierto @pnique @Pablo_Iglesias_ ? RT @Supportapple3: La Policía descubre que la dictadura iraní ha dado 2 millones de euros a Iglesias y su entorno desde 2013</t>
  </si>
  <si>
    <t>https://twitter.com/Supportapple3/status/1065519645053132800
https://okdiario.com/investigacion/2016/01/12/policia-descubre-que-dictadura-irani-dado-2-millones-euros-iglesias-entorno-desde-2013-52289</t>
  </si>
  <si>
    <t>No se, creo que Nebraska esta bien.</t>
  </si>
  <si>
    <t>El Guarda Smiz</t>
  </si>
  <si>
    <t>Y porqué @ahorapodemos @Pablo_Iglesias_ @PartidoPACMA @DANIROVIRA @ecologistas no han condenado ni han salido a la palestra ante una desgracia como esta? No solicitan modificaciones legislativas en cuanto a la tenencia de estos PPP #LaVerdadDelAnimalismo</t>
  </si>
  <si>
    <t>https://elpais.com/ccaa/2018/11/21/madrid/1542809833_914161.html</t>
  </si>
  <si>
    <t>Cayenne</t>
  </si>
  <si>
    <t>El Rey Autoritario de @ahorapodemos (aka @Pablo_Iglesias_ ) desde su palacio de Galapagar, qué elige a la nº 2 de su partido por coito, hace un ejercicio de cinismo e hipocresía en @el_pais #ParaQuéSirveLaMonarquía</t>
  </si>
  <si>
    <t>Torroella de Montgrí, España</t>
  </si>
  <si>
    <t>Prou d'alliçonament. Prou de Nazionalisme catalá</t>
  </si>
  <si>
    <t>℉el 🌱</t>
  </si>
  <si>
    <t>#ParaQuéSirveLaMonarquía Para salir comer ,beber, el rollo de siempre, meterse mil _ _ _ hablar con la gente ....🎵🎵🎵 @Pablo_Iglesias_</t>
  </si>
  <si>
    <t>https://pbs.twimg.com/media/DsmPeDaW0AAcia1.jpg</t>
  </si>
  <si>
    <t>Igualada ~Bcn~Sant llorenç de Morunys~Ciutadella~Menorca ~Pai*sos Catalans Cordoba/Ripoll la meva existencia</t>
  </si>
  <si>
    <t>Podem Montcada i Reixac</t>
  </si>
  <si>
    <t>💬 "Desde el momento en que la monarquía ya no es el precio a pagar para contar con un sistema de libertades, su función histórica para la democracia española ha perdido su sentido". 📰 #ParaQuéSirveLaMonarquía, artículo de @Pablo_Iglesias_ 👇</t>
  </si>
  <si>
    <t>https://pbs.twimg.com/media/DsmPVuSXgAAifot.jpg</t>
  </si>
  <si>
    <t>Antonio Lola</t>
  </si>
  <si>
    <t>Abascal vapulea a Iglesias: "La Monarquía sirve para que alguien como tú no alcance la jefatura del Estado"</t>
  </si>
  <si>
    <t>https://casoaislado.com/abascal-vapulea-pablo-iglesias-la-monarquia-sirve-alguien-devorado-odio-no-alcance-la-jefatura-del-estado/</t>
  </si>
  <si>
    <t>Montcada i Reixac</t>
  </si>
  <si>
    <t>Compte oficial de Podem Montcada, volem fomentar la participació de la gent, perquè la decisió de la majoria prevalgui per sobre de qualsevol interès menor.</t>
  </si>
  <si>
    <t>http://www.circulodemontcada.com</t>
  </si>
  <si>
    <t>#Blaugrana</t>
  </si>
  <si>
    <t>Debes saber @Verito_OL que te insultas tú misma. Que no eres capaz de trabajar ninguna propuesta, que has dejado abandonada la comision de presupuestos por tu incapacidad. Y es lo saben ya @pnique o @Pablo_Iglesias_ ? Eres un chiste</t>
  </si>
  <si>
    <t>https://pbs.twimg.com/media/DsmPGdYWkAAUraM.jpg</t>
  </si>
  <si>
    <t>1dia d partit al Gol Nord vaig anar només entrar a la Grada em vaig enamorar El cor em bategava no em preguntis perquè del Barça sóc supporter sempre t'animaré</t>
  </si>
  <si>
    <t>Pablo Echenique</t>
  </si>
  <si>
    <t>Cuando se pregunta a los españoles con qué ideología asocian a la monarquía, un 47% contesta derecha, un 23% extrema derecha y sólo un 1,6% izquierda. Hoy @Pablo_Iglesias_ escribe sobre dejar atrás LOS SÍMBOLOS QUE NOS DIVIDEN. 👇 #ParaQuéSirveLaMonarquía</t>
  </si>
  <si>
    <t>Intransigente 11/06</t>
  </si>
  <si>
    <t>💥VAYA OSTIÓN💥Albert RIVERA ⚡️ZURRA⚡️ a RUFIÁN, a SÁNCHEZ y a PABLO IGLESIAS ¡¡3X1!!</t>
  </si>
  <si>
    <t>https://youtu.be/Vn5QOJG3_SM</t>
  </si>
  <si>
    <t>Científico del CSIC en @ahorapodemos. Buscando e intentando reconocer quién y qué, en medio del infierno, no es infierno. Para hacerlo durar, y darle espacio.</t>
  </si>
  <si>
    <t>https://www.facebook.com/pablo.echenique/</t>
  </si>
  <si>
    <t>Metropolitana de Santiago, Chi</t>
  </si>
  <si>
    <t>Justicia y verdad histórica, volver a nuestros orígenes, honrando a nuestros ancestros, para unirnos y avanzar juntos hacia el futuro. Viva la cultura Hispana❌.</t>
  </si>
  <si>
    <t>Nicolás Marín Bayona 🦜</t>
  </si>
  <si>
    <t>Tribuna | ¿Para qué sirve hoy la monarquía?; por @Pablo_Iglesias_  via @el_pais</t>
  </si>
  <si>
    <t>Echo 💚</t>
  </si>
  <si>
    <t>Bernie populista de izquierda? WTF. Igual hice el test y me dió cercano a Pablo iglesias, pero más a la izquierda y mucho menos populista. Link:</t>
  </si>
  <si>
    <t>https://pbs.twimg.com/media/DsqOFrZWsAAUMGM.jpg</t>
  </si>
  <si>
    <t>Paris</t>
  </si>
  <si>
    <t>Can you handle this ?</t>
  </si>
  <si>
    <t>Sysadmin | Me dice zurdo de mi*rda la gente correcta | Ideas, no partidos/gente | Ateo | En TW poco IT | Political Compass: http://i.imgur.com/TD2fvn7.jpg</t>
  </si>
  <si>
    <t>http://nemb92.tumblr.com/</t>
  </si>
  <si>
    <t>Bruno Estrada</t>
  </si>
  <si>
    <t>Unos presupuestos que son mucho mas que numeros @asaltoalscielos @franciscomore13 @ggilmir @martaflich @MonederoJC @Julio_Rodr_ @Pablo_Iglesias_ RT @UnidasxMadrid: .@Brunotsky escribe sobre nuestra labor en el Ayuntamiento de @Madrid, donde apostamos por la inversión social en los barrios y los distritos para mejorar la vida de la gente.  Vota en</t>
  </si>
  <si>
    <t>https://twitter.com/UnidasxMadrid/status/1065535976976670720
http://www.infolibre.es/noticias/opinion/plaza_publica/2018/11/22/unos_presupuestos_que_son_mucho_mas_que_numeros_89064_2003.html
http://participa.podemos.info</t>
  </si>
  <si>
    <t>https://pbs.twimg.com/media/DsmK_qZXgAAnCKN.jpg</t>
  </si>
  <si>
    <t>Construyendo utopias cercanas</t>
  </si>
  <si>
    <t>MarSS ❤️💛❤️</t>
  </si>
  <si>
    <t>"El documento indica que el dinero de la dictadura islámica, una de las teocracias más sanguinarias del mundo, habría servido para lanzar la carrera política del líder de @ahorapodemos, @Pablo_Iglesias_ y proyectar la imagen pública de su partido."</t>
  </si>
  <si>
    <t>https://okdiario.com/investigacion/2016/01/12/policia-descubre-que-dictadura-irani-dado-2-millones-euros-iglesias-entorno-desde-2013-52289/amp?__twitter_impression=true</t>
  </si>
  <si>
    <t>La Mónada é mobile</t>
  </si>
  <si>
    <t>Según el quiz de The Guardian estoy mas bien cerca de Pablo Iglesias en mi nivel de populismo</t>
  </si>
  <si>
    <t>#EspañaIndivisible #Inhabilitación⛔#golpistas #terroristas #odiadores contra #España #SanchezDimisión #EleccionesYa #VOX🇪🇸 Bloqueada x @Pablo_Iglesias_ 🙄🤣</t>
  </si>
  <si>
    <t>https://pbs.twimg.com/media/DsqIhhHU4AEna3W.jpg</t>
  </si>
  <si>
    <t>Jose García Buitrón</t>
  </si>
  <si>
    <t>Ayer un Editorial lúcido. Hoy la Tribuna de @Pablo_Iglesias_ ......Estaría bien que desde ese medio @el_pais se contribuyera a la reflexión serena y plural sobre nuestra democracia y sus valores. Necesitados estamos.</t>
  </si>
  <si>
    <t>Mexico</t>
  </si>
  <si>
    <t>Filósofo y Humanista Digital. De familia platónica.</t>
  </si>
  <si>
    <t>http://www.ernestopriani.com</t>
  </si>
  <si>
    <t>A Coruña, Galicia</t>
  </si>
  <si>
    <t>Antes, Cirujano y Coordinador de Trasplantes. Exclusividad a la Sanidad Pública. Después, Senador #enMarea PODEMOS. Ahora, del Consejo Estatal de Podemos.</t>
  </si>
  <si>
    <t>laquintacolumna</t>
  </si>
  <si>
    <t>Si fuera @Pablo_Iglesias_ el día que Sánchez anuncie que no presentará presupuestos pondría sobre la mesa el decreto de subida del SMI como condición para no forzar elecciones, y que se retraten. Porque estoy convencido de que aceptaron eso a sabiendas de que no saldría adelante.</t>
  </si>
  <si>
    <t>La vida es lo que pasa mientras pierdes el tiempo escribiendo un tuit</t>
  </si>
  <si>
    <t>Un artículo que merece la pena ser leído 👇👇👇 "¿Para qué sirve hoy la monarquía?" (Pablo Iglesias)👑👑👑  @Pablo_Iglesias_ @ahorapodemos #República #FelizJueves</t>
  </si>
  <si>
    <t>https://pbs.twimg.com/media/DsmMN9PXQAAgIvS.jpg</t>
  </si>
  <si>
    <t>Gipsy</t>
  </si>
  <si>
    <t>Pablo Iglesias: "Sería sensato hacer elecciones" - Contrainformación  vía @_Contrainfo</t>
  </si>
  <si>
    <t>Roberto Sotomayor</t>
  </si>
  <si>
    <t>Lectura obligada. 👇 Articulo muy recomendable de @Pablo_Iglesias_ en @elpais_espana</t>
  </si>
  <si>
    <t>https://contrainformacion.es/pablo-iglesias-seria-sensato-hacer-elecciones/</t>
  </si>
  <si>
    <t>Muy escorado a la izquierda, no puedo evitarlo.</t>
  </si>
  <si>
    <t>5 ✖️Campeón España indoor M35 3 ✖️ Campeón de Europa M35 Doble subcampeón del Mundo M35 con 2 WR 4✖️800 M35/ Locutor Deportivo en la RFEA / Motivation Coach</t>
  </si>
  <si>
    <t>http://correporti.blogspot.com.es/</t>
  </si>
  <si>
    <t>T.Wildfree</t>
  </si>
  <si>
    <t>Se preguntaba Pablo Iglesias en Lo País que para qué sirve la monarquía Muy sencillo. Para que la jefatura del estado esté en manos de alguien neutral y no caiga en manos de comunistas que apoyan a narco-dictaduras y teocracias asesinas #VivaElRey</t>
  </si>
  <si>
    <t>Imanol</t>
  </si>
  <si>
    <t>.@sanchezcastejon @Pablo_Iglesias_ @geroabai @eajpnv.. Creo que ahí hay un serio problema y algo habrá que hacer para solucionarlo ya, la sociedad está preocupada RT @javieritostone1: Claman al cielo las sentencias de este tribunal. Los jueces de 'La Manada' condenan a DIEZ MESES de prisión por "maltrato ocasional" a un hombre que acuchilló y trató de asfixiar a su mujer en presencia de sus hijos.</t>
  </si>
  <si>
    <t>https://pbs.twimg.com/media/Dsp9fsZXcAA4OvD.jpg</t>
  </si>
  <si>
    <t>I’m just Based</t>
  </si>
  <si>
    <t>https://twitter.com/javieritostone1/status/1065528134127312896
https://www.publico.es/espana/violencia-machista-jueces-manada-sentencian-acuchillar-tratar-axfixiar-mujer-maltrato-ocasional.html</t>
  </si>
  <si>
    <t>Bilbao</t>
  </si>
  <si>
    <t>Una mitad de Santurtzi y otra de Bilbao. Erdi bat Santurtzikoa eta bestea Bilbokoa, horrela naiz neu. Hemen eta nire web-ean, Tutto. Errelitatean Imanol</t>
  </si>
  <si>
    <t>http://www.tuttoenbilbao.com</t>
  </si>
  <si>
    <t>paracoccidioidomicosisproctitissarcomucosis</t>
  </si>
  <si>
    <t>Jajajá, puto Pablo Iglesias. Es me recuerda que ayer hace 18 años asesinaron a Ernest Lluch. El mismo tipo al que gritaban en un acto electoral , en una de las pocas plazas de toros cuadradas del mundo que hay que hay en Donosti, de Odon Elorza. RT @Whoremagedd0n: Pablo Iglesias: "Sin personas como Otegi no habría paz"</t>
  </si>
  <si>
    <t>https://twitter.com/Whoremagedd0n/status/1065799527746158592
https://m.elimparcial.es/noticia/164133/pablo-iglesias-sin-personas-como-otegi-no-habria-paz.html</t>
  </si>
  <si>
    <t>Jose Manuel Luque</t>
  </si>
  <si>
    <t>Grande @Pablo_Iglesias_ , el unico capaz de hablar sin pelos en la lengua. Muy recomendable su articulo.</t>
  </si>
  <si>
    <t>Pablo Iglesias: "Sin personas como Otegi no habría paz"</t>
  </si>
  <si>
    <t>Malaga, España</t>
  </si>
  <si>
    <t>TAFAD, CD Puerta Oscura y BP. Si se puede!!</t>
  </si>
  <si>
    <t>http://www.cdpuertaoscura.com</t>
  </si>
  <si>
    <t>https://m.elimparcial.es/noticia/164133/pablo-iglesias-sin-personas-como-otegi-no-habria-paz.html</t>
  </si>
  <si>
    <t>David Quirós</t>
  </si>
  <si>
    <t>Miles de empresas, PYMES y autónomos volviéndose locos para cumplir la GDPR y llega la clase política a reírse de todos nosotros  ¿Cómo vais a justificar esto @sanchezcastejon @pablocasado_ @Albert_Rivera @Pablo_Iglesias_?</t>
  </si>
  <si>
    <t>https://elpais.com/sociedad/2018/11/21/actualidad/1542791655_314453.amp.html</t>
  </si>
  <si>
    <t>Francisco M. Marín</t>
  </si>
  <si>
    <t>Asturias / Madrid</t>
  </si>
  <si>
    <t>Chief Rock&amp;Roll Officer. Continuos learning. Optimista digital. #GrowthHacker #MarketingDigital #ecommerce #transformaciondigital #MIBers #beerlover</t>
  </si>
  <si>
    <t>https://davidquiros.es</t>
  </si>
  <si>
    <t>Moratalla, España</t>
  </si>
  <si>
    <t>No se molesten.</t>
  </si>
  <si>
    <t>María Espinosa</t>
  </si>
  <si>
    <t>La monarquía, esa institución tan asediada por la corrupción da lugar a una pregunta ¿ #ParaQueSirveLaMonarquia ? Recomendado artículo de @Pablo_Iglesias_ 👇</t>
  </si>
  <si>
    <t>Diputada de Podemos en Madrid. Jurista, vallecana y feminista #MamáPolítica</t>
  </si>
  <si>
    <t>https://www.instagram.com/mariaespinosallave/</t>
  </si>
  <si>
    <t>Emiliano Montoya</t>
  </si>
  <si>
    <t>Hasta cuando esta barbarie? @teleSURtv @SputnikMundo @ActualidadRT @CNNEE @ONU_derechos @JLMelenchon @Pablo_Iglesias @UN @jeremycorbyn RT @ConElMazoDando: ¡Brutal! Nuevo ataque de EEUU con bombas de fósforo blanco dejó numerosas víctimas (+Siria)</t>
  </si>
  <si>
    <t>https://twitter.com/ConElMazoDando/status/1065790298679320576
https://conelmazodando.com.ve/190343</t>
  </si>
  <si>
    <t>https://pbs.twimg.com/media/DspyoN3XoAEJtnl.jpg</t>
  </si>
  <si>
    <t>PODEMos Eivissa</t>
  </si>
  <si>
    <t>La monarquía, algo obsoleto en los tiempos actuales, fuera de lugar y contexto en la España de hoy, librarnos de ella traería muchas mejoras al ·Estado Español y sus ciudadan@s. Interesante artículo sobre #ParaQuéSirveLaMonarquía de @Pablo_Iglesias_</t>
  </si>
  <si>
    <t>La Perla del Pacifico</t>
  </si>
  <si>
    <t>#Progresismo #Correista #Montuvio #Vinceño El respeto al derecho ajeno, es la paz. Socio azul # 11990. #GuerreroDigital</t>
  </si>
  <si>
    <t>https://pbs.twimg.com/media/DsmJ4OhWwAEdr5q.jpg</t>
  </si>
  <si>
    <t>https://www.facebook.com/emirmontoya</t>
  </si>
  <si>
    <t>Eivissa - Ibiza</t>
  </si>
  <si>
    <t>Página oficial de @ahorapodemos en Eivissa.</t>
  </si>
  <si>
    <t>https://eivissa.podemos.info/</t>
  </si>
  <si>
    <t>Javiguanarteme</t>
  </si>
  <si>
    <t>PABLO IGLESIAS: “LA BANDERA TRICOLOR ES EL SÍMBOLO DE LOS PERDEDORES Y NO VOLVERÁ A RESURGIR”</t>
  </si>
  <si>
    <t>https://flagelodelocorrecto.wordpress.com/2018/11/23/pablo-iglesias-la-bandera-tricolor-es-el-simbolo-de-los-perdedores-y-no-volvera-a-resurgir/</t>
  </si>
  <si>
    <t>Dolores Amadeo</t>
  </si>
  <si>
    <t>"Nuestra patria necesita hoy dotarse de instrumentos institucionales republicanos..., que representen la fraternidad, que garanticen la justicia social y que reconozcan la diversidad de los pueblos y gentes de España...", @Pablo_Iglesias_</t>
  </si>
  <si>
    <t>https://pbs.twimg.com/media/Dsp3I7zVAAYG405.jpg</t>
  </si>
  <si>
    <t>https://bit.ly/2BriO5r</t>
  </si>
  <si>
    <t>No creo en Dios, no lo necesito y además soy buena persona. "José Saramago"</t>
  </si>
  <si>
    <t>https://flagelodelocorrecto.wordpress.com/</t>
  </si>
  <si>
    <t>Consejera Ciudadana de Podemos Madrid</t>
  </si>
  <si>
    <t>Pedr Cstr</t>
  </si>
  <si>
    <t>Que @Pablo_Iglesias_ escriba sobre la máxima autoridad del régimen en el medio del régimen indica la profundidad del cambio político que estamos viviendo. #ParaQuéSirveLaMonarquia</t>
  </si>
  <si>
    <t>Greisha</t>
  </si>
  <si>
    <t>Creo puedo decir para que sirve Pablo Iglesias: Para sembrar odio, crear ruina y miseria en España, hacerse de un capital mayor que el de Amancio Ortega,poner preso y torturar a todo aquel que se le opone,acabar con la libertad de prensa, entre otras cosas RT @ldpsincomplejos: Veo que Pablo Iglesias ha escrito un artículo preguntándose "¿Para qué sirve hoy la Monarquía?". Yo me pregunto otra cosa: ¿para qué sirve hoy Pablo Iglesias? Una vez conducido el 15M a la nada, ya has logrado los objetivos de quienes te lanzaron, Pablo. ¿Por qué sigues murgando?</t>
  </si>
  <si>
    <t>Aequat omnes cinis</t>
  </si>
  <si>
    <t>Esperanza en el futuro!! Por una Venezuela de la cual sentir orgullo</t>
  </si>
  <si>
    <t>Fran Gómez</t>
  </si>
  <si>
    <t>📰 "¿Para qué sirve hoy la monarquía?" Mira @Pablo_Iglesias_, la Monarquía es el principal obstáculo que tenéis tú, Puigdemont y Otegi. Para proteger a los ciudadanos de gente como vosotros sirve hoy la Monarquía. #ParaQuéSirveLaMonarquía</t>
  </si>
  <si>
    <t>Arteixo, Galicia, España</t>
  </si>
  <si>
    <t>Moviéndome por el cambio, un ciudadano más. Equilibrista con red online.</t>
  </si>
  <si>
    <t>Martin Ortega</t>
  </si>
  <si>
    <t>Como se le han agotado otros temas, @Pablo_Iglesias_ enfila ahora la Monarquía. El chavismo, que era el futuro para España, no da más de sí. La plurinacionalidad, que nunca explicó bien, resulta muy liosa. Y tampoco puede criticar al Gobierno. ¿Qué queda?</t>
  </si>
  <si>
    <t>Ultimo libro: España en positivo. Profesor de Derecho Internacional UCM. Asociado @rielcano. Ex UE, MAEC. Escribo en @el_pais. Tras 💓 la Ciencia y la Creación.</t>
  </si>
  <si>
    <t>http://explorandoelfuturo.blogspot.com.es/</t>
  </si>
  <si>
    <t>sam</t>
  </si>
  <si>
    <t>Muy de acuerdo con @Pablo_Iglesias_ en este párrafo de su artículo #ParaQuéSirveLaMonarquía. La cuestión entonces es por qué limitar la cuestión constituyente (nueva república) a la Corona.</t>
  </si>
  <si>
    <t>https://pbs.twimg.com/media/DsmCsCLXcAElx-x.jpg</t>
  </si>
  <si>
    <t>El_TylerDurden</t>
  </si>
  <si>
    <t>Política global, europea, local | International, local politics. | ES, EN, FR</t>
  </si>
  <si>
    <t>Hola, me llamo Hermann Tertsch y en ocasiones no sueño con Pablo Iglesias.</t>
  </si>
  <si>
    <t>https://medium.com/@quilombosfera/</t>
  </si>
  <si>
    <t>https://pbs.twimg.com/media/DspmQ9_XcAE8jwK.jpg</t>
  </si>
  <si>
    <t>totes</t>
  </si>
  <si>
    <t>#ElClubDeLaBirra</t>
  </si>
  <si>
    <t>Perder toda esperanza es ganar la libertad. Y otras mierdas baratas parecidas. Enfermemero de noche, capullo todo el día. Hago tortitas en @ECDLMM</t>
  </si>
  <si>
    <t>mmm lástima que “autoridad” no sea lo mismo que autoritarismo ni que poder... le ha faltado a @Pablo_Iglesias_ una pincelada de feminismos en el texto. RT @margpuig: Genial artículo de @Pablo_Iglesias_: cuando la monarquía no es símbolo de diálogo sino de autoridad,ha llegado el momento de avanzar hacia el republicanismo y la unidad basada en el respeto y la libre decisión de sus pueblos. #ParaQuéSirveLaMonarquía</t>
  </si>
  <si>
    <t>https://twitter.com/el_tylerdurden</t>
  </si>
  <si>
    <t>https://twitter.com/margpuig/status/1065531534843813888
https://elpais.com/elpais/2018/11/21/opinion/1542806031_921444.amp.html#click=https://t.co/rTDTGol6ZR</t>
  </si>
  <si>
    <t>dona</t>
  </si>
  <si>
    <t>Martín Andrade</t>
  </si>
  <si>
    <t>Este quiz de The Guardian dice que soy populista de izquierda como Pablo Iglesias y pues me quedé así ira 😯 Abeeeeer ustedes ➡️</t>
  </si>
  <si>
    <t>https://bit.ly/2OWvMeJ</t>
  </si>
  <si>
    <t>https://pbs.twimg.com/media/Dspln3cUUAANgph.jpg</t>
  </si>
  <si>
    <t>PODEM</t>
  </si>
  <si>
    <t>📰 España es ya una democracia madura y avanzada que no debe seguir teniendo una forma de Gobierno propia del siglo XIV y que nada tiene que ver con un país feminista. 📝 #ParaQuéSirveLaMonarquía, artículo de @Pablo_Iglesias_ 👇👇</t>
  </si>
  <si>
    <t>https://pbs.twimg.com/media/DsmIENwXcAEbwVp.jpg</t>
  </si>
  <si>
    <t>Coeditor de audiencias @mexicopuntocom | Productor de proyectos culturales y entretenimiento | Creador de contenido | Publicista de clóset | Papá de Panchino</t>
  </si>
  <si>
    <t>https://www.instagram.com/godomarto/</t>
  </si>
  <si>
    <t>Compte oficial de Podem, l'expressió a Catalunya d'un projecte democràtic per a guanyar la sobirania.</t>
  </si>
  <si>
    <t>https://catalunya.podemos.info/</t>
  </si>
  <si>
    <t>Antonio Gallego</t>
  </si>
  <si>
    <t>Teresa Rodríguez dice que "Vamos a por los caminantes blancos" Carmena... Es que más que como a la Khaleesi la veo como al caballo del bicho ese feo que tiene los dientes feos y manda mucho. Es que no se como se llama, el Pablo Iglesias de los zombies, para que me entiendas.</t>
  </si>
  <si>
    <t>Deslenguada</t>
  </si>
  <si>
    <t>Como siempre @Pablo_Iglesias_ viviendo de las rentas de un #15M al que traicionó. Ahora le suma el feminismo. Artículo infumable en @el_pais, que por supuesto es muy plural y NO admite comentarios. ¡Que tendrá que ver el culo con las témporas! #ParaQueSirveLaMonarquia</t>
  </si>
  <si>
    <t>https://pbs.twimg.com/media/DsmGW5VXoAEnVH-.jpg</t>
  </si>
  <si>
    <t>Si te ofrecen un troll, dí NO, Vive la vida</t>
  </si>
  <si>
    <t xml:space="preserve"> Kepler-65</t>
  </si>
  <si>
    <t>Piense usted lo que quiera, pero piénselo. Fernando Savater</t>
  </si>
  <si>
    <t>Pilar Balado</t>
  </si>
  <si>
    <t>Con estos dos y sus aliados. España. A la mierda.!!!!!!!Pedro Sánchez choca con Pablo Iglesias por la duración de la legislatura si no hay Presupuestos</t>
  </si>
  <si>
    <t>Miguel Herrero</t>
  </si>
  <si>
    <t>Te caerá mejor o peor @Pablo_Iglesias_ , pero escribe de maravilla este señor. Buen artículo y espero que cuando estemos bien y sea el momento, llegue la tercera y definitiva república Española. #ParaQuéSirveLaMonarquía RT @ahorapodemos: 🖊 Artículo de @Pablo_Iglesias_: #ParaQuéSirveLaMonarquía. Una reflexión sobre la legitimidad de la monarquía en España y sobre la evolución de nuestra democracia.</t>
  </si>
  <si>
    <t>https://twitter.com/ahorapodemos/status/1065501742463418373
https://elpais.com/elpais/2018/11/21/opinion/1542806031_921444.html</t>
  </si>
  <si>
    <t>https://www.elnortedecastilla.es/nacional/sanchez-choca-iglesias-presupuestos-20181117211432-ntrc.html</t>
  </si>
  <si>
    <t>Estudiante de Periodismo y Comunicación Audiovisual en la UMH. Mi Música Es Tu Onda en @RADIO_UMH</t>
  </si>
  <si>
    <t>http://radio.umh.es/category/programas-radio-umh-2012-2013/musica/mi-musica-es-tu-onda/</t>
  </si>
  <si>
    <t>me gusta la musica ,lascosas bonitas cuadros fotos pinturas el MAR lo adoro ,los perros maravillosos ,la cosmetica la naturaleza .la vida y la salud</t>
  </si>
  <si>
    <t>Mar García Puig #LeyIgualdadLGTBI</t>
  </si>
  <si>
    <t>Genial artículo de @Pablo_Iglesias_: cuando la monarquía no es símbolo de diálogo sino de autoridad,ha llegado el momento de avanzar hacia el republicanismo y la unidad basada en el respeto y la libre decisión de sus pueblos. #ParaQuéSirveLaMonarquía</t>
  </si>
  <si>
    <t>Mariona 🦋</t>
  </si>
  <si>
    <t>Hermann Tertsch,un hombre obsesionado con el Señor Iglesias. Desde que llegó la formación política de Pablo Iglesias las pesadillas de Hermann se transforman en color morado con letras,formando la palabra.... PODEMOS!!! RT @eldiarioes: Hermann Tertsch cree que la monarquía sirve "para evitar que sea necesaria una guerra para impedir una dictadura de Pablo Iglesias"</t>
  </si>
  <si>
    <t>https://elpais.com/elpais/2018/11/21/opinion/1542806031_921444.amp.html#click=https://t.co/rTDTGol6ZR</t>
  </si>
  <si>
    <t>Animalista de corazón 🐺🐑🐹🐘🐱🐇🐶🐴🐯🐻🦏🐮🐂🐸🐼 STOP 🤚MD🤚</t>
  </si>
  <si>
    <t>Lingüista, editora i diputada d'En Comú Podem «¿Com podem concebre una lluita revolucionària que no impliqui una revolució en el discurs?», Julia Kristeva.</t>
  </si>
  <si>
    <t>Don Erre que erre 🇪🇸</t>
  </si>
  <si>
    <t>#ParaQuéSirveLaMonarquía los británicos celebrando el 90 cumpleaños de su reina sin enterarse que según @Pablo_Iglesias_ no son una democracia moderna.</t>
  </si>
  <si>
    <t>https://pbs.twimg.com/media/DsmHOOhWoAAuWDn.jpg</t>
  </si>
  <si>
    <t>Sí, soy de los la banderita.</t>
  </si>
  <si>
    <t>Luis Ángel Aguilar</t>
  </si>
  <si>
    <t>Interesante y oportuno artículo de @Pablo_Iglesias_ por si te animas a leerlo: #ParaQuéSirveLaMonarquía. Una buena reflexión sobre la legitimidad de la #monarquía en #España y sobre la evolución de nuestra #democracia.</t>
  </si>
  <si>
    <t>https://pbs.twimg.com/media/DsmHLmrXoAEb5Mr.jpg</t>
  </si>
  <si>
    <t>LA TERCA UTOPÍA</t>
  </si>
  <si>
    <t>Activista social, comentarista político, profesor, creyente, laico,rojo y cojo Delegado de @fundalatin en España y parte de @La_PAH,#ATTAC, #Podemos,#CCP,#RRCC</t>
  </si>
  <si>
    <t>http://luisangelaguilar.blogspot.com</t>
  </si>
  <si>
    <t>Juan Carlos Álvarez</t>
  </si>
  <si>
    <t>Pablo Iglesias: Las difamaciones en los medios de comunicación .  vía @YouTube</t>
  </si>
  <si>
    <t>Podemos Navarra</t>
  </si>
  <si>
    <t>¿Una Jefatura de Estado que se hereda sin contar con la ciudadanía, que nos cuesta millones de euros y que no rinde cuentas a la justicia es lo que queremos en el s. XXI? 📝 @Pablo_Iglesias_ escribe sobre ello #ParaQuéSirveLaMonarquía:  …</t>
  </si>
  <si>
    <t>https://youtu.be/VvCX59vDQTc</t>
  </si>
  <si>
    <t>Navarra, Comunidad Foral de Navarra</t>
  </si>
  <si>
    <t>Twitter oficial de Podemos Navarra – Nafarroa Ahal dugu-ren Twitter ofiziala</t>
  </si>
  <si>
    <t>http://navarra.podemos.info</t>
  </si>
  <si>
    <t>juan fco cabrera romero</t>
  </si>
  <si>
    <t>Se pregunta Pablo Iglesias para qué sirve hoy la Monarquía. Según él, en el pasado sirvió para que el Ejército no acabara con la democracia. Ahora que ya no hay peligro, la Monarquía ha dejado...</t>
  </si>
  <si>
    <t>PodemosParlaOficial</t>
  </si>
  <si>
    <t>#ParaQuéSirveLaMonarquía. “¿Sigue siendo útil la monarquía para nuestra democracia?. La monarquía se ha convertido en una institución idónea para la corrupción....”, artículo de @Pablo_Iglesias_ 👉📰</t>
  </si>
  <si>
    <t>https://elpais.com/elpais/2018/11/21/opinion/1542806031_921444.html
http://elpais.com/elpais/2018/11/21/opinion/1542806031_921444.html</t>
  </si>
  <si>
    <t>https://pbs.twimg.com/media/DsmGbLLWsAAl5Ke.jpg</t>
  </si>
  <si>
    <t>Ayamonte, España</t>
  </si>
  <si>
    <t>Orgulloso de haber nacido en la Puerta de España.</t>
  </si>
  <si>
    <t>Avd. Juan Carlos I 1 (post.)</t>
  </si>
  <si>
    <t>Twitter oficial de Podemos Parla</t>
  </si>
  <si>
    <t>Iñaki</t>
  </si>
  <si>
    <t>Javi</t>
  </si>
  <si>
    <t>Esto es lo que está ocurriendo en #Venezuela Ese país del que @ierrejon dice que "ha habido importantisimos avances". Del que @Pablo_Iglesias_ dice que "es un modelo a seguir". Del que @MonederoJC dice que "Maduro no es un dictador". ¿Aún no véis que #PodemosEsChavismo ? RT @TorresAren: EN #200AñosRepúblicaDeVenezuela NUNCA Se habían visto estás atrocidades como las que hace la GUARDIA NAZI-ONAL del DICTADOR NICOLÁS MADURO En el ESTADO FALCÓN VENEZUELA A los opositores alREGIMEN Y la comunidad internacional🤐 #21Nov #22Nov #FelizMiercoles</t>
  </si>
  <si>
    <t>Si quieres aprender a volar como el águila no vivas rodeado de pavos...</t>
  </si>
  <si>
    <t>http://www.ivoox.com/escuchar-escuchando-peliculas_nq_98041_1.html</t>
  </si>
  <si>
    <t>Si ves que no te contesto, es que he descubierto lo de 'silenciar'. Sin acritud, ¿eh? 💋 Como dijo Reverte: aplaudiré una buena idea, venga de donde venga</t>
  </si>
  <si>
    <t>DavidPR</t>
  </si>
  <si>
    <t>Simplista el artículo de opinión de @Pablo_Iglesias_ sobre la monarquía en el @el_pais donde una vez más vuelve a confundir sus deseos con los deseos de los españoles...Sr. Iglesias ¿son Reino Unido, Holanda, Suecia o Noruega menos democracias por tener también monarquias?</t>
  </si>
  <si>
    <t>Periodista. Optimista y positivo, a pesar de la realidad del momento que nos ha tocado vivir. #logística #transportes #DigitalMarketing #SocialMedia #política</t>
  </si>
  <si>
    <t>http://es.linkedin.com/in/davidpmadrid</t>
  </si>
  <si>
    <t>GDV Valencianos Y Españoles</t>
  </si>
  <si>
    <t>⁦@Pablo_Iglesias_⁩ Eran los héroes y heroínas del antifranquismo, pero eran una minoría. MINORÍA te ha quedado claro sois MINORÍA trabajar de una vez VAGOS</t>
  </si>
  <si>
    <t>Comunidad Valenciana, España</t>
  </si>
  <si>
    <t>anti nacionalistas somos Reino De Valencia VCF siempre 💯</t>
  </si>
  <si>
    <t>el alquimista de las zapatillas</t>
  </si>
  <si>
    <t>Pablo Iglesias coge 🇪🇸 ESPAÑA 🇪🇸 y la HUNDE 👎 el ANIME coge 🇪🇸 ESPAÑA 🇪🇸 y la deja SUGOI!!!</t>
  </si>
  <si>
    <t>Dina Bousselham</t>
  </si>
  <si>
    <t>¿Sigue siendo útil la monarquía para nuestra democracia? 🖊 Artículo de @Pablo_Iglesias_ #ParaQuéSirveLaMonarquía</t>
  </si>
  <si>
    <t>Donde haya WiFi</t>
  </si>
  <si>
    <t>Nudes ➡ @God_Sanic</t>
  </si>
  <si>
    <t>https://curiouscat.me/Juanakin69</t>
  </si>
  <si>
    <t>Feminista. Politóloga. Madridista. Mi patria es la gente. Secretaria de Comunicación de @podemosCMadrid. #Migraciones #DDHH</t>
  </si>
  <si>
    <t>https://Instagram.com/dinabousselham</t>
  </si>
  <si>
    <t>afrvet esp</t>
  </si>
  <si>
    <t>E. García Serrano: "El abuelo de Pablo Iglesias estuvo en la retaguardia...  vía @YouTube</t>
  </si>
  <si>
    <t>Carlos Hernández</t>
  </si>
  <si>
    <t>Interesante artículo de @Pablo_Iglesias_ en @el_pais. Está claro que Unidos Podemos se ha quedado como único abanderado, a nivel nacional, del creciente sentimiento republicano existente en la sociedad. Un sentir que se extiende entre los más jóvenes. El PSOE debería reflexionar</t>
  </si>
  <si>
    <t>https://youtu.be/OOoDDdkvZZg</t>
  </si>
  <si>
    <t>https://pbs.twimg.com/media/DsmF2DwWkAA9lfN.jpg</t>
  </si>
  <si>
    <t>Ciudadano del mundo</t>
  </si>
  <si>
    <t>Periodista en Eldiario. Autor: Los últimos españoles de Mauthausen; Deportado 4443. Obedecer por obedecer, sin pensar... solo lo hace gente como usted, capitán</t>
  </si>
  <si>
    <t>http://www.deportados.es</t>
  </si>
  <si>
    <t>José Marcos</t>
  </si>
  <si>
    <t>Tribuna de @Pablo_Iglesias_ en @el_pais: "¿Para qué sirve hoy la monarquía? Una nueva república será la mejor garantía para una España unida sobre la base del respeto y la libre decisión de sus pueblos y sus gentes"</t>
  </si>
  <si>
    <t>Paris, IL</t>
  </si>
  <si>
    <t>Periodista del diario El País. Nacional. Fogueado y curtido en Deportes y Madrid. jmarcos@elpais.es Instagram: marcosgarciajose</t>
  </si>
  <si>
    <t>http://elpais.com/autor/jose_marcos/a</t>
  </si>
  <si>
    <t>Agustin Moreno</t>
  </si>
  <si>
    <t>#ParaQuéSirveLaMonarquía por @Pablo_Iglesias_ "Una nueva república será la mejor garantía para una España unida sobre la base del respeto y la libre decisión de sus pueblos y sus gentes" Ahora nos parasita y recuerda que somos una democracia demediada</t>
  </si>
  <si>
    <t>BotChus</t>
  </si>
  <si>
    <t>Gracias Pablo Iglesias por inventar el chovinismo</t>
  </si>
  <si>
    <t>https://pbs.twimg.com/media/DsmFVz7WwAAflpw.jpg</t>
  </si>
  <si>
    <t>Profesor de historia en un instituto de Vallecas hasta hace nada, y activista veterano por los derechos sociales y democráticos</t>
  </si>
  <si>
    <t>España o mejor Iberia</t>
  </si>
  <si>
    <t>Cauê Nascimento</t>
  </si>
  <si>
    <t>Es la primera vez que @Pablo_Iglesias_ escribe en @el_pais, ¿no?</t>
  </si>
  <si>
    <t>São Vicente, Brasil</t>
  </si>
  <si>
    <t>Provavelmente, o não famoso mais bloqueado do Twitter.</t>
  </si>
  <si>
    <t>http://www.caue-nascimento.blogspot.com</t>
  </si>
  <si>
    <t>Manuel Fernandez</t>
  </si>
  <si>
    <t>¿Para qué sirve hoy la monarquía? Opinión de @Pablo_Iglesias_ Otras ! En el “El País” !</t>
  </si>
  <si>
    <t>Mirando parriba pa no ver la estupidez abajo.</t>
  </si>
  <si>
    <t>santiago diez</t>
  </si>
  <si>
    <t>Actuación en Pablo Iglesias el día 6 de diciembre, por sólo 5€, esto si es #blackfriday !nos ayudáis a compartir? Gracias ;) @ALCBDS_Ayto @SERMadridNorte #Alcobendas</t>
  </si>
  <si>
    <t>Espanhol la necedad mata🎗</t>
  </si>
  <si>
    <t>¿Para qué sirve hoy la monarquía? Resumiendo: LA TRANSICIÓN fue un UN PLATO DE LENTEJAS al que se le llamó DEMOCRACIA Un “manjar” para un pueblo hambriento de LIBERTAD. ⁦@pnique⁩ ⁦@Pablo_Iglesias_⁩ #FelizJueves</t>
  </si>
  <si>
    <t>https://pbs.twimg.com/media/DspVhb2WsAIjgXY.jpg</t>
  </si>
  <si>
    <t>El mundo está lleno de idiotas y muchos con derecho a voto. Cada quién se engaña con la mentira que más le gusta.</t>
  </si>
  <si>
    <t>https://m.facebook.com/lavhl/</t>
  </si>
  <si>
    <t>alcobendas</t>
  </si>
  <si>
    <t>Alberto Pernías ن</t>
  </si>
  <si>
    <t>La monarquía sirve para representar lo mejor de la sociedad española... no la escoria, mediania, vaguerío q representan @sanchezcastejon @pablo_iglesias_ @ierrejon @pnique @gabrielrufian ... todos muy inferiores a Felipe VI... y perdón por comparar a su majestad con mierda RT @albertosi1974: Tribuna | ¿Para qué sirve hoy la monarquía?; por Pablo Iglesias  vía @el_pais</t>
  </si>
  <si>
    <t>https://twitter.com/albertosi1974/status/1065526915568713728
https://elpais.com/elpais/2018/11/21/opinion/1542806031_921444.html?id_externo_rsoc=TW_CC</t>
  </si>
  <si>
    <t>Siempre en la oposición</t>
  </si>
  <si>
    <t>Castellano de Talavera, donde no hay Rey, ni Dios, ni Semana Santa. Buscando ser el Hilaríon de Sabina. 13...y nada más.</t>
  </si>
  <si>
    <t>Gonzalo Boye</t>
  </si>
  <si>
    <t>Muy oportuna y clara reflexión de @Pablo_Iglesias_ : ¿Para qué sirve hoy la monarquía? | Opinión | EL PAÍS</t>
  </si>
  <si>
    <t>عمر نادر</t>
  </si>
  <si>
    <t>Tribuna | ¿Para qué sirve hoy la monarquía?; por Pablo Iglesias  via @el_pais</t>
  </si>
  <si>
    <t>Ombligo de la luna</t>
  </si>
  <si>
    <t>Politólogo y periodista | @UNAM_FCPYS | Seamos realistas: necesitamos la utopía</t>
  </si>
  <si>
    <t>Abogado en @BoyeElbal, profesor de derecho procesal penal y escribo en @Contrapoder_CM - RT no significa adhesión</t>
  </si>
  <si>
    <t>http://www.boye-elbal.com</t>
  </si>
  <si>
    <t>Podemos La Bombilla</t>
  </si>
  <si>
    <t>#Destronemlo</t>
  </si>
  <si>
    <t>.@Pablo_Iglesias_ reflexiona sobre la legitimidad de la monarquía en España y sobre la evolución de nuestra democracia. 40 años después de la Transición tenemos que preguntarnos: ¿Sigue siendo útil la monarquía para nuestra democracia? #ParaQuéSirveLaMonarquía</t>
  </si>
  <si>
    <t>Evo Morales más a la derecha que Obama,Macron,Sandra y Pablo Iglesias. 🤣🤣🤣 RT @ronanburtenshaw: This is what happens when liberals try to quantify “populism.” The Guardian’s chart has Evo Morales to the right of Obama and Macron.</t>
  </si>
  <si>
    <t>https://pbs.twimg.com/media/DsmCHG8WkAAkSxQ.jpg</t>
  </si>
  <si>
    <t>Cìrculo de Podemos Madrid en Argüelles y Casa de campo</t>
  </si>
  <si>
    <t>Soy @capitalfobia Me quitaron la otra pero im back</t>
  </si>
  <si>
    <t>INTERESANTE reflexión d Manuel Arias Maldonado .Es muy probable q @pablocasado_ y @Albert_Rivera lo estén leyendo YA y a @sanchezcastejon y @Pablo_Iglesias_ les estarán pasando los recortes de prensa. ESPERO que les sea ÚTIL.</t>
  </si>
  <si>
    <t>https://pbs.twimg.com/media/DsmBaBaW0AAl2U5.jpg</t>
  </si>
  <si>
    <t>Gaceta Global</t>
  </si>
  <si>
    <t>Pablo Iglesias aboga por la instalación de guillotinas en todas las plazas de España</t>
  </si>
  <si>
    <t>https://www.gacetaglobal.com/noticia/pablo-iglesias-aboga-por-la-instalacion-de-guillotinas-en-todas-las-plazas-de-espana</t>
  </si>
  <si>
    <t>https://pbs.twimg.com/media/DspQG_qW0AA5gZz.jpg</t>
  </si>
  <si>
    <t>Joan Mena Arca</t>
  </si>
  <si>
    <t>✍️ Imprescindible artículo de @Pablo_Iglesias_ Los cambios que empujan la España plurinacional del 15M y del 8M son incompatibles con una monarquía que no sirve para nada #ParaQuéSirveLaMonarquía 👉</t>
  </si>
  <si>
    <t>Noticias absurdas. Como tu miserable vida.</t>
  </si>
  <si>
    <t>http://www.gacetaglobal.com</t>
  </si>
  <si>
    <t>Sabadell</t>
  </si>
  <si>
    <t>El primer deber de una persona es pensar por sí misma. Sabadell. Profe interí, fent de diputat d'@encomu_podem CanalTelegram: https://t.me/joan_mena 🏳️‍🌈</t>
  </si>
  <si>
    <t>http://www.joanmena.cat</t>
  </si>
  <si>
    <t>Farinhas 🛰️</t>
  </si>
  <si>
    <t>Pensades que Leticia Dolera representa ao feminismo e Pablo Iglesias á esquerda e así estamos.</t>
  </si>
  <si>
    <t>Pedro Vallín</t>
  </si>
  <si>
    <t>"Una Nueva República será la mejor garantía para una España unida sobre la base del respeto y la libre decisión de sus pueblos y sus gentes." (@Pablo_Iglesias_, hoy, en El Diario de los Whills)</t>
  </si>
  <si>
    <t>Compostela, Galiza</t>
  </si>
  <si>
    <t>Estudante de xornalismo. Eu non son milleniall deses, son XabaXeración.</t>
  </si>
  <si>
    <t>https://ofardodefarinhas.wordpress.com</t>
  </si>
  <si>
    <t>Periodista</t>
  </si>
  <si>
    <t>Juan López❤🎗💜👫👭👬</t>
  </si>
  <si>
    <t>Gran artículo escrito por @Pablo_Iglesias_ ¿Para qué sirve hoy la monarquía?; por Pablo Iglesias . En mi opinión. La monarquía en este país sólo sirve para dar cobijo a la corrupción .#LaCafeteraCrispaciOFF #ParaQuéSirveLaMonarquía  vía @el_pais</t>
  </si>
  <si>
    <t>República Española</t>
  </si>
  <si>
    <t>Antifascistas de Podemos , agnóstico y republicano, ¡¡NO!! a la VIOLENCIA MACHISTA , la revolución será #Feminista #NiUnaMenos</t>
  </si>
  <si>
    <t>Jose Luis de la Call</t>
  </si>
  <si>
    <t>Voy a empezar a seguir a @pablocasado_ @sanchezcastejon @Albert_Rivera @Pablo_Iglesias_ @gabrielrufian para despistar a la ficha ideologíca. Avisados estais, xd.</t>
  </si>
  <si>
    <t>El Poder del Silencio</t>
  </si>
  <si>
    <t>Habitante de la Tierra</t>
  </si>
  <si>
    <t>http://coctelbolsa.webnode.es/</t>
  </si>
  <si>
    <t>Rosa</t>
  </si>
  <si>
    <t>COSILLAS QUE PASAN CUANDO DESCUBRES QUE SON LOS DEMÁS LOS QUE TIENEN QUE SOÑAR. ASÍ CAMBIA LA CASTA POLÍTICA @Pablo_Iglesias_</t>
  </si>
  <si>
    <t>https://www.facebook.com/willytolerdo/videos/511864382556914/</t>
  </si>
  <si>
    <t>España 🇪🇸 ☀️🌺🥘 🏖</t>
  </si>
  <si>
    <t>ZuleimaYepez</t>
  </si>
  <si>
    <t>Narcogobierno ASESINO, el chepa mejor conocido como @Pablo_Iglesias_ quiere llevar a este país, @okdiario,, @elmundoes RT @TorresAren: EN #200AñosRepúblicaDeVenezuela NUNCA Se habían visto estás atrocidades como las que hace la GUARDIA NAZI-ONAL del DICTADOR NICOLÁS MADURO En el ESTADO FALCÓN VENEZUELA A los opositores alREGIMEN Y la comunidad internacional🤐 #21Nov #22Nov #FelizMiercoles</t>
  </si>
  <si>
    <t>i.aiestaran</t>
  </si>
  <si>
    <t>The Guardian coloca a Bernie Sanders y Pablo Iglesias mucho más a la izquierda que Evo Morales, incluso Obama y Macron están un poco más a la izquierda que Evo Morales. Este es el periodismo que está analizando el "populismo" desde la "izquierda". RT @ronanburtenshaw: This is what happens when liberals try to quantify “populism.” The Guardian’s chart has Evo Morales to the right of Obama and Macron.</t>
  </si>
  <si>
    <t>Soy Consultora de Formación. Diplomada en Empresariales.</t>
  </si>
  <si>
    <t>Umbría (Republic of Ioar)</t>
  </si>
  <si>
    <t>POR LO COMÚN - KOMUNZKI - COMMONLY http://www.argia.com/blogak/ignazio-aiestaran/</t>
  </si>
  <si>
    <t>http://www.rebelion.org/mostrar.php?tipo=5&amp;id=Ignazio%20Aiestaran&amp;inicio=0</t>
  </si>
  <si>
    <t>Alfredo Barrios</t>
  </si>
  <si>
    <t>Buen articulo de @Pablo_Iglesias_, la monarquía no tiene ningún sentido en la sociedad actual (bueno y en la anterior, creo que tampoco). ¿Para qué sirve hoy la monarquía?;</t>
  </si>
  <si>
    <t>[MJ] is on</t>
  </si>
  <si>
    <t>Que buena gente fueron los que le pagaron a Pablo Iglesias la casita de Galapagar. Si es que el altruismo en bolivalandia es espectacular. 🤢</t>
  </si>
  <si>
    <t>👪🖥️⚽️🏀🍻🇨🇴🇪🇸</t>
  </si>
  <si>
    <t>https://alsoft27.blogspot.com</t>
  </si>
  <si>
    <t>https://pbs.twimg.com/media/DspMMM1WwAALhck.jpg</t>
  </si>
  <si>
    <t>Carlos Feria</t>
  </si>
  <si>
    <t>#ParaQuéSirveLaMonarquía Ya hace tiempo que lo vamos teniendo claro, @EnekoHumor nos lo explica con imágenes @Pablo_Iglesias_</t>
  </si>
  <si>
    <t>Cádiz☞ Londres⊢Paris⊢Madrid</t>
  </si>
  <si>
    <t>Real&amp;Fin Investor | BBA+CIB~LLB | Investment Banker in DCM Ex-Corporate Finance| Libertas virorum fortium pectora acuit | Ácrata | Personal account,just views |</t>
  </si>
  <si>
    <t>https://pbs.twimg.com/media/Dsl-3-HWwAA48IS.jpg</t>
  </si>
  <si>
    <t>http://www.investmentbanking.es</t>
  </si>
  <si>
    <t>Profesor de Filosofía en el IES La Orden de Huelva</t>
  </si>
  <si>
    <t>http://filosofialo.tumblr.com</t>
  </si>
  <si>
    <t>Manel Ansede</t>
  </si>
  <si>
    <t>"Que a la jefatura del Estado se acceda por elecciones y no por fecundación sería profundizar en nuestra democracia", escribe hoy @Pablo_Iglesias_ en una tribuna en El País</t>
  </si>
  <si>
    <t>Periodista científic a @materia_ciencia (EL PAÍS). Vaig ser veterinari. Em podeu trobar a manuel@esmateria.com. Casa meva és casa vostra.</t>
  </si>
  <si>
    <t>http://materia.elpais.com</t>
  </si>
  <si>
    <t>maria fernandez</t>
  </si>
  <si>
    <t>MONARQUIAS EUROPEAS: DINAMARCA HOLANDA REINO UNIDO SUECIA NORUEGA ESPAÑA BELGICA LIECHTENSTEIN LUXEMBURGO MONACO. @agarzon @Pablo_Iglesias_ PREGUNTEN EN EUROPA, YA ME CUENTAN LA RESPUESTA VALE? Y USTEDES PARA QUE SIRVEN CON LOS SUELDOS QUE COBRAN? PARA NADA DE NADA . SALUDOS</t>
  </si>
  <si>
    <t>De Madrid,Cristiana.Mi Fuerza: "JESUS".. I miss you a lot... ¡no a las redes! Por libertad de individuo y derecho a expresión.¡SIEMPRE POR LA LIBERTAD!</t>
  </si>
  <si>
    <t>βΔŘβΔŘΞΔŇ</t>
  </si>
  <si>
    <t>Tribuna | ¿Para qué sirve hoy la monarquía?; por Pablo Iglesias  vía @el_pais #GranArtículo #ValienteeInteligente #FueraMonarquía #RepúblicaYA #FelizViernes</t>
  </si>
  <si>
    <t>Xavier Domènech</t>
  </si>
  <si>
    <t>"Si los Reyes de España supieran lo poco que van a durar, a la calle saldrían gritando: "¡Libertad, libertad, libertad!" ;) Más allá de bromas, importante reflexión de @Pablo_Iglesias_</t>
  </si>
  <si>
    <t>Una persona inquieta en un mundo injusto.</t>
  </si>
  <si>
    <t>Historiador, activista i a voltes moltes altres coses.</t>
  </si>
  <si>
    <t>http://www.instagram.com/xavierdomenechs</t>
  </si>
  <si>
    <t>Sant_Esteve_ONU</t>
  </si>
  <si>
    <t>Si todos hacemos lo mismo El vox csss entran españa Estais para castigar @ahorapodemos @Pablo_Iglesias_ @Irene_Montero_ Mi reflexion Creo os recuerdo que el coco la bestia Esta Una feminista que diga no voto ni e votado Que derecho tienes tu ninguno</t>
  </si>
  <si>
    <t>Carlos Guerrero Yamarte</t>
  </si>
  <si>
    <t>Conociendo los orígenes de esta franquicia, como lo es Podemos, se puede alertar de que los populistas que asesoran a este señor tenían el mismo discurso, digo tenían porque ya ni se toman la molestia de llamar a elecciones limpias. ⚠Pablo Iglesias es un agente más del chavismo RT @Pablo_Iglesias_: En Podemos los inscritos eligen a sus candidatos. Sois el alma de Podemos, porque Podemos es vuestra herramienta de cambio. En Podemos decides tú. 📩 Participa en los procesos de primarias abiertos:</t>
  </si>
  <si>
    <t>Bloqueo cualquiera con fachadas</t>
  </si>
  <si>
    <t>21a. Bloguero | Director de @SubversionEL | Estudiante de Comunicación Social | #VenezuelaLibre | Ciudadano siempre | Activista de @Pr1meroJusticia</t>
  </si>
  <si>
    <t>http://Subversionenletras.blogspot.com</t>
  </si>
  <si>
    <t>"Desde el momento en que la monarquía ya no es el precio a pagar para contar con un sistema de libertades, su función histórica para la democracia española ha perdido su sentido". 📰 #ParaQuéSirveLaMonarquía, artículo de @Pablo_Iglesias_ 👇</t>
  </si>
  <si>
    <t>🇪🇸🇪🇸blasdelezo🇪🇸🇪🇸</t>
  </si>
  <si>
    <t>*Feroz* Cruce ente Pablo Iglesias y Carlos Cuesta por *SOBREPUNIDAD* a ETA.  vía @YouTube</t>
  </si>
  <si>
    <t>https://pbs.twimg.com/media/Dsl7RVmX4AE5XZ2.jpg</t>
  </si>
  <si>
    <t>https://youtu.be/vhkVr7U0QgQ</t>
  </si>
  <si>
    <t>🇪🇸🇪🇸🇪🇸🇪🇸 Después de que el PP pusiera en la calle al que pudo haber sido el asesino de mis padres (Bolinaga), yo voto a VOX🇪🇸🇪🇸🇪🇸🇪🇸</t>
  </si>
  <si>
    <t>pedro corral</t>
  </si>
  <si>
    <t>El País: Fe de errores al artículo de Pablo Iglesias</t>
  </si>
  <si>
    <t>Gloria Elizo</t>
  </si>
  <si>
    <t>Una sociedad avanzada no puede –ni debe– permtirse una forma de Estado medieval. #ParaQuéSirveLaMonarquía @Pablo_Iglesias_ : «Una nueva república será la mejor garantía para una España unida sobre la base del respeto y libre elección de sus gentes»👏🏻👇</t>
  </si>
  <si>
    <t>Nacido donostiarra, español a conciencia. Periodista y escritor. Concejal en el Ayuntamiento de Madrid por el PP, distrito de Chamberí.</t>
  </si>
  <si>
    <t>http://www.grupoppmadrid.es</t>
  </si>
  <si>
    <t>`Nosotros pocos, nosotros pocos y felices, banda de hermanos` Madre. No todo es politica. O sí. Morada. Vice 4 Congreso de los Diputad@s.</t>
  </si>
  <si>
    <t>https://www.instagram.com/gloriaelizo/</t>
  </si>
  <si>
    <t>WOLF</t>
  </si>
  <si>
    <t>El PP obligará a Pablo Iglesias a explicar en el Senado su cuenta de 272.000$ en un paraíso fiscal</t>
  </si>
  <si>
    <t>https://okdiario.com/espana/2017/06/12/pp-obligara-iglesias-explicar-senado-cuenta-272-000-paraiso-fiscal-1068194#.W_c3xUfRzpe.twitter</t>
  </si>
  <si>
    <t>Podemos Comunidad de Madrid</t>
  </si>
  <si>
    <t>Desde el momento en que la monarquía ya no es el precio a pagar para contar con un sistema de libertades, su función histórica para la democracia española ha perdido su sentido. #ParaQuéSirveLaMonarquía Artículo de @Pablo_Iglesias_</t>
  </si>
  <si>
    <t>ex http://militar.de la derecha.amigo de mis amigos.nacionalidad española.</t>
  </si>
  <si>
    <t>https://pbs.twimg.com/media/Dsl8x6HXgAER6zl.jpg</t>
  </si>
  <si>
    <t>JESUS MANYA SALAS</t>
  </si>
  <si>
    <t>Comunidad de Madrid</t>
  </si>
  <si>
    <t>Construyendo la alternativa del cambio. Por un proyecto para los y las madrileñas, justo e igualitario y que no deje a nadie atrás. #SíSePuede</t>
  </si>
  <si>
    <t>http://cmadrid.podemos.info</t>
  </si>
  <si>
    <t>CUSCO - PERU</t>
  </si>
  <si>
    <t>EL VIEJO PUMA, escribe de política y cultura, desde la ciudad del Cusco.</t>
  </si>
  <si>
    <t>http://elviejopuma.blogspot.com</t>
  </si>
  <si>
    <t>Manu Benas</t>
  </si>
  <si>
    <t>¿Para qué sirve hoy la monarquía?  por @Pablo_Iglesias_ @ahorapodemos</t>
  </si>
  <si>
    <t>Patricia Castro🔻</t>
  </si>
  <si>
    <t>Vale ahora que quedamos pocos por aquí lo reconoceré. Yo solo soy comunista para que Pablo Iglesias me de carguito o en su defecto Ada Colau me de la femipaguita. Quien no llora no mama como dicen en el pueblo de alguien.</t>
  </si>
  <si>
    <t>En la red</t>
  </si>
  <si>
    <t>No me preocupa el grito de los violentos, de los corruptos, de los sin ética. Lo que me preocupa es el silencio de los buenos. (M.L.K.)</t>
  </si>
  <si>
    <t>http://www.gamisfaction.com/manubenas</t>
  </si>
  <si>
    <t>Europa del sur</t>
  </si>
  <si>
    <t>Riot Grrrl. Escribo en @elfactico http://Youtube.com/espatricia http://instagram.com/_espatricia</t>
  </si>
  <si>
    <t>http://laschicasnoestanbien.wordpress.com</t>
  </si>
  <si>
    <t>Miguel Angel Herrero</t>
  </si>
  <si>
    <t>Recomiendo fervientemente echar un ojo al editorial de @Pablo_Iglesias_ sobre el papel de la Monarquía en nuestro país que publica hoy El País</t>
  </si>
  <si>
    <t>IT. Aficionado al cine y la tecnología. Adicto a los viajes y la fotografía. Madridista. Le doy al R6S en mis tiempos libres.</t>
  </si>
  <si>
    <t>http://instagram.com/mangelherrero/</t>
  </si>
  <si>
    <t>Van gelder</t>
  </si>
  <si>
    <t>Pq a Pablo Iglesias no le quitan también escolta y el que más necesita escolta es el juez Llanera después de la pintadas de su casa.😎</t>
  </si>
  <si>
    <t>Artículo de @Pablo_Iglesias_ ¿Para qué sirve hoy la monarquía? | Opinión | EL PAÍS</t>
  </si>
  <si>
    <t>#YoNoSintonizoMediaset ¯\_(ツ)_</t>
  </si>
  <si>
    <t>La televisión es el espejo donde se refleja la derrota de todo nuestro sistema cultural y MORAL__</t>
  </si>
  <si>
    <t>Familia#15mLibertad</t>
  </si>
  <si>
    <t>Una sociedad y un país nuevo tratan de emerger hace años. El 15m dejamos claro que somos el pueblo y no el enemigo. Urgen unas instituciones al servicio del pueblo. No te pierdas el artículo de @Pablo_Iglesias_ #ParaQuéSirveLaMonarquía</t>
  </si>
  <si>
    <t>https://pbs.twimg.com/media/Dsl7yVbWoAIMcws.jpg</t>
  </si>
  <si>
    <t>Iberia</t>
  </si>
  <si>
    <t>Lo que está naciendo es una nueva conciencia y su reflejo inevitable, un nuevo mundo. En tu silencio encontrarás las respuestas.</t>
  </si>
  <si>
    <t>Mónica</t>
  </si>
  <si>
    <t>Pues #ParaQuéSirveLaMonarquía debería saberlo muy bien @Pablo_Iglesias_ que parece estar bastante interesado en cargarsela...por algo será 🤔</t>
  </si>
  <si>
    <t>El Tiempo todo lo pone en su sitio...</t>
  </si>
  <si>
    <t>karl negro</t>
  </si>
  <si>
    <t>No mancheis el nombre de Pablo Iglesias, comparándolo con una derechista de mierda. RT @fromerod: Decía Pablo Iglesias"Sois socialistas no para amar en silencio vuestras ideas(...) sino para llevarlas a todas partes.En 139 años much@s dieron su vida.Hoy unos encapuchados en San Juan de Aznalfarache han intentado callarnos a  lo conseguirán #YoConSusana</t>
  </si>
  <si>
    <t>https://twitter.com/fromerod/status/1065712260532891654
http://golpes.No</t>
  </si>
  <si>
    <t>https://pbs.twimg.com/media/DsorpGIV4AAanHE.jpg</t>
  </si>
  <si>
    <t>Conchi Abellan</t>
  </si>
  <si>
    <t>Reflexiones sobre la monarquía, su legitimidad y representatividad. "Una nueva república será la mejor garantía para una España unida sobre la base del respeto y la libre decisión de sus pueblos y sus gentes" @Pablo_Iglesias_.</t>
  </si>
  <si>
    <t>La Vall d'Uixó, Castellón</t>
  </si>
  <si>
    <t>18-vegetariano . ✊</t>
  </si>
  <si>
    <t>Madre de dos niños. Activista, Feminista y defensora de un país social e inclusivo. Consejera ciudadana y Portavoz de @Podem_Cat</t>
  </si>
  <si>
    <t>https://t.me/ConcepcionAbellan</t>
  </si>
  <si>
    <t>Hoy nuestra libertad no es presa de la monarquía. República significa avance y profundización democrática, fraternidad, justicia social, reconocimiento de nuestra diversidad y garantía de unidad. Lo explica @Pablo_Iglesias_. #ParaQuéSirveLaMonarquía</t>
  </si>
  <si>
    <t>Ramon Llopis-Goig</t>
  </si>
  <si>
    <t>O Penedo</t>
  </si>
  <si>
    <t>Señor presidente de la UE puede hacer algo con esto? @Antonio_Tajani @iescolar @Pablo_Iglesias_ @eldiarioes @ahorapodemos @FeijooGalicia @PSOE @ONU_es @Europarl_ES @UEprensa @elmundoes @ierrejon @MonederoJC @ONUMedioAmb @sanchezcastejon @fomentogob que vengan a mirar esto</t>
  </si>
  <si>
    <t>Retweets dont mean endorsement</t>
  </si>
  <si>
    <t>Associate Professor of Sociology at University of Valencia (Spain)</t>
  </si>
  <si>
    <t>pic.twitter.com/xOPS5eS3Fw</t>
  </si>
  <si>
    <t>No te pierdas el artículo de @Pablo_Iglesias_ donde plantea #ParaQuéSirveLaMonarquía. Los últimos años demuestran que está sirviendo a los poderosos y a la corrupción, y no al pueblo como debería un jefe de estado.  #FelizJueves</t>
  </si>
  <si>
    <t>Maria Corrales Pons</t>
  </si>
  <si>
    <t>‘Si el 23-F reforzó a Juan Carlos, el 3 de octubre debilitó a Felipe VI, que sólo fue capaz de erigirse como símbolo de la autoridad de un Gobierno fracasado’ La monarquia com a dic a la plurinacionalitat, també a un país feminista. Per @Pablo_Iglesias_</t>
  </si>
  <si>
    <t>m.castell</t>
  </si>
  <si>
    <t>Periodista de formació. Discurs a @EnComu_Podem i escrivint a @cuartopoder. Optimista de la voluntat.</t>
  </si>
  <si>
    <t>https://www.cuartopoder.es/author/maria-corrales/</t>
  </si>
  <si>
    <t>Especialista en Medicina Interna.</t>
  </si>
  <si>
    <t>Esther L. Barceló 🔻</t>
  </si>
  <si>
    <t>Me atrevería a sumar otra pregunta retórica al título de este artículo que comparto plenamente de @Pablo_Iglesias_; "Para qué ha servido nunca la monarquía?" Aunque nunca está de más evidenciar para qué no sirve actualmente. Y que viva la República 👇</t>
  </si>
  <si>
    <t>Godokoro</t>
  </si>
  <si>
    <t>Gracias a Hermann Tertsch ubicamos cronológicamente a Pablo Iglesias en el reino visigótico de Toledo.</t>
  </si>
  <si>
    <t>🏛Profa de Historia🔻Responsable Memoria Democrática de IU 🙎‍♀️Fui diputada en Les Corts 💜 Escribo historias de vidas en #ElDesolvidador en http://eldiariocv.es ✍️</t>
  </si>
  <si>
    <t>Texto @juanmalamet Bueno... @pablocasado_ @sanchezcastejon y @Pablo_Iglesias_ HAN INTENTADO manipular al Poder Judicial. Negarlo es una NECEDAD. Pero NUNCA es tarde para LEGISLAR en favor de la DIVISIÓN de PODERES. Es decir : protegernos de NOSOTROS MISMOS.</t>
  </si>
  <si>
    <t>https://pbs.twimg.com/media/Dsl58yYX4AA0aAg.jpg</t>
  </si>
  <si>
    <t>La Colorá 🔻♀🇵🇸</t>
  </si>
  <si>
    <t>¿Para qué sirve hoy la monarquía? Genial @Pablo_Iglesias_ 'Lo fundamental para definir el carácter democrático de un régimen político no es que la jefatura del Estado sea electiva o no, sino que efectivamente se garanticen las libertades'</t>
  </si>
  <si>
    <t>https://pbs.twimg.com/media/Dsl50OuW0AAnKAO.jpg</t>
  </si>
  <si>
    <t>Con la patria en mis zapatos</t>
  </si>
  <si>
    <t>Hice Derecho.Madre.Montañera.Yogui. Oposito.Feminista.Fui edil de IU y interina en JA.Trabajé en @Granadaacoge.Colaboro en @MObrero_Radio con 'Hijas de Calenda'</t>
  </si>
  <si>
    <t>http://elblogdemaitemolina.blogspot.com/</t>
  </si>
  <si>
    <t>Albert Aixala Blanch</t>
  </si>
  <si>
    <t>Artículo valiente de @Pablo_Iglesias_ por su análisis del pasado "Difícilmente las cosas hubieran podido ocurrir de manera muy diferente" y sus propuestas para el futuro.</t>
  </si>
  <si>
    <t>https://elpais.com/elpais/2018/11/21/opinion/1542806031_921444.amp.html?id_externo_rsoc=TW_CM&amp;__twitter_impression=true</t>
  </si>
  <si>
    <t>Politòleg que es va dedicar a la política. «El pitjor que et pot passar és tenir un cor nostàlgic i una ment escèptica» Naguib Mahfuz</t>
  </si>
  <si>
    <t>http://aaixala.blogspot.com</t>
  </si>
  <si>
    <t>Bea Talegón 🎗</t>
  </si>
  <si>
    <t>Buenos días República! Lean hoy a @Pablo_Iglesias_</t>
  </si>
  <si>
    <t>Edgardo Oviedo</t>
  </si>
  <si>
    <t>¡COMO SE PONEN LAS CABEZAS!: Hermann Tertsch cree que la monarquía sirve "para evitar que sea necesaria una guerra para impedir una dictadura de Pablo Iglesias"  …</t>
  </si>
  <si>
    <t>Madre. Abogada. Músico. Periodista. contactoBeaTalegon@gmail.com Diario16, TV3, El Plural, Ok, La Republica, La Jornada, El Obrero, 8Tv, El Nacional.</t>
  </si>
  <si>
    <t>https://www.eldiario.es/rastreador/Hermann-Tertsch-monarquia-Pablo-Iglesias_6_838576136.html</t>
  </si>
  <si>
    <t>Hoy es un día tan bueno como cualquier otro para preguntarnos #ParaQuéSirveLaMonarquía tras cuarenta años de latrocinio y sucesión por fecundación. Hoy @Pablo_Iglesias_ escribe artículo, porque es hora de más democracia en nuestro país:</t>
  </si>
  <si>
    <t>Escritor, periodista,traductor, guionista, docente: Superviviente. No sigo porque me sigan. Sorry, I don´t follow everybody that follow me.</t>
  </si>
  <si>
    <t>https://pbs.twimg.com/media/Dsl5IgmWoAACsoB.jpg</t>
  </si>
  <si>
    <t>Bizente</t>
  </si>
  <si>
    <t>Palmípedo.</t>
  </si>
  <si>
    <t>El artículo de @Pablo_Iglesias_ es inteligente, fuera de filias y fobias. Dos apuntes: - La República es el único sistema que garantizará en el futuro que España siga unida. - Hace falta un republicanismo que rompa con los símbolos de la 2ª república. #paraquesirvelamonarquía RT @Pablo_Iglesias_: España debe terminar de convertirse en una democracia moderna. Una nueva república será la mejor garantía para una España unida sobre la base del respeto y la libre decisión de sus pueblos y sus gentes. #ParaQuéSirveLaMonarquía.</t>
  </si>
  <si>
    <t>Madrid, Castilla, Europa.</t>
  </si>
  <si>
    <t>Boxeo&amp;Graffiti&amp;Castellanismo.</t>
  </si>
  <si>
    <t>Manuela V</t>
  </si>
  <si>
    <t>#ParaQuéSirveLaMonarquía "Nuestra patria necesita hoy dotarse de instrumentos institucionales republicanos que huyan de la uniformidad y el cesarismo, que representen la fraternidad, que garanticen la justicia social" @Pablo_Iglesias_ Hay que leerlo 👇👇</t>
  </si>
  <si>
    <t>Súbdito a la fuerza. República YA. #SPAINEXIT</t>
  </si>
  <si>
    <t>Y Que?!!</t>
  </si>
  <si>
    <t>#ElCascabel22N Pablo Iglesias PODEMITAS escribe mal de la Monarquía española y defiende a ultranza al presidente ASESINO NICOLÁS MADURO. Incongruencia de los COMUNISTAS!!!!</t>
  </si>
  <si>
    <t>Pablo</t>
  </si>
  <si>
    <t>Imagino que algo tendra que decir @NicolasMaduro y sus simpatizantes @ierrejon @pnique @Pablo_Iglesias_ @MonederoJC. #desmienteOcondena RT @TorresAren: EN #200AñosRepúblicaDeVenezuela NUNCA Se habían visto estás atrocidades como las que hace la GUARDIA NAZI-ONAL del DICTADOR NICOLÁS MADURO En el ESTADO FALCÓN VENEZUELA A los opositores alREGIMEN Y la comunidad internacional🤐 #21Nov #22Nov #FelizMiercoles</t>
  </si>
  <si>
    <t>DerechosSociales PRM</t>
  </si>
  <si>
    <t>🔜Una nueva república será la mejor garantía para una España unida sobre la base del respeto y la libre decisión de sus pueblos y sus gentes. ¿#ParaQuéSirveLaMonarquía⁉️ 📝Artículo @Pablo_Iglesias_</t>
  </si>
  <si>
    <t>eldiario.es</t>
  </si>
  <si>
    <t>Hermann Tertsch cree que la monarquía sirve "para evitar que sea necesaria una guerra para impedir una dictadura de Pablo Iglesias"</t>
  </si>
  <si>
    <t>Murcia, España</t>
  </si>
  <si>
    <t>Página Oficial de la Secretaría de Derechos Sociales y de la Ciudadanía de @Podemosmurcia</t>
  </si>
  <si>
    <t>https://regiondemurcia.podemos.info/secretaria-de-derechos-sociales-y-ciudadania/</t>
  </si>
  <si>
    <t>Periodismo a pesar de todo. Colabora: Hazte socio -- http://www.eldiario.es/socios/alta.html</t>
  </si>
  <si>
    <t>El Caballero Oscuro</t>
  </si>
  <si>
    <t>http://www.eldiario.es</t>
  </si>
  <si>
    <t>Ves quien va contra el rey...y te haces más monarquico. Republica de @Pablo_Iglesias_? No,gracias #ParaQuéSirvePodemos #ParaQuéSirveLaMonarquía</t>
  </si>
  <si>
    <t>Gotham</t>
  </si>
  <si>
    <t>Como hombre soy de carne y hueso.Puedo ser ignorado.Puedo ser destruido.Pero como símbolo soy incorruptible y soy eterno.</t>
  </si>
  <si>
    <t>Crónicas Bárbaras</t>
  </si>
  <si>
    <t>Y es dirigente de UGT. De la UGT. ¿Qué diría ante él el internacionalista y fundador del sindicato, el verdadero Pablo Iglesias? Claro que también, qué diría como fundador del PSOE de sus dirigentes actuales... RT @Alvisepf: El diputado de ERC confiesa ahora que sí escupió a @JosepBorrellF, pero sólo como gesto: “No solté saliva”. Era de esperar de un separatista: Valiente en su odio, despechado en sus gestos, y vilmente cobarde en la realidad. Pronto, España 🇪🇸</t>
  </si>
  <si>
    <t>https://twitter.com/Alvisepf/status/1065604408585654272</t>
  </si>
  <si>
    <t>pic.twitter.com/HQyKeoAL9c</t>
  </si>
  <si>
    <t>Mariano Alonso</t>
  </si>
  <si>
    <t>En apenas cuatro años, @Pablo_Iglesias_ se ha convencido de que la transición española fue un éxito que permitió a España pasar de una dictadura a “una democracia homologable a las de la Europa occidental de entonces” y de que “el Ejército español no es hoy ninguna amenaza a...</t>
  </si>
  <si>
    <t>Periodista, excorresponsal de la Agencia EFE en México, Bélgica, China y EE.UU. Analista independiente de política, cultura y de la sociedad global.</t>
  </si>
  <si>
    <t>http://www.cronicasbarbaras.blogs.com</t>
  </si>
  <si>
    <t>Getafe, Comunidad de Madrid</t>
  </si>
  <si>
    <t>Periodista Journalist Corresponsal político y parlamentario en Libertad Digital y esRadio. Antes COPE y LDTV.</t>
  </si>
  <si>
    <t>NatiLop 🖐</t>
  </si>
  <si>
    <t>"El impulso constituyente que empujó el 15-M y que empuja hoy el movimiento feminista apunta en esa dirección republicana; instituciones que protejan a la gente antes que figuras de autoridad inamovibles" @Pablo_Iglesias_ #ParaQuéSirveLaMonarquía  @el_pais</t>
  </si>
  <si>
    <t>YoSoyPodemos 🖐 NoAlMaltratoAnimales NoALaManiPPulaciónMedios IlegalizaciónPP</t>
  </si>
  <si>
    <t>Fran Casamayor</t>
  </si>
  <si>
    <t>Después de 40 años nuestra democracia ha madurado, mientras que la institución monárquica sigue anclada al pasado, de espaldas a los problemas de la gente. Para nada útil en este siglo XXI @Pablo_Iglesias_ escribe este artículo #ParaQuéSirveLaMonarquía.</t>
  </si>
  <si>
    <t>Informalia</t>
  </si>
  <si>
    <t>Pablo Iglesias propone una 'boda roja' soft para la monarquía y reivindica la república</t>
  </si>
  <si>
    <t>https://pbs.twimg.com/media/Dsl3iQiXgAEbEP6.jpg</t>
  </si>
  <si>
    <t>http://informalia.eleconomista.es/informalia/actualidad/noticias/9536886/11/18/Pablo-Iglesias-propone-una-boda-roja-soft-para-la-monarquia-y-reivindica-la-republica.html</t>
  </si>
  <si>
    <t>https://pbs.twimg.com/media/DsoDW_NU4AAMYF0.jpg</t>
  </si>
  <si>
    <t>Secretario de Organización Adjunto de Podemos. Politólogo. #ConstruyendoMadrid</t>
  </si>
  <si>
    <t>El portal de crónica social, moda y belleza de @eleconomistaes.</t>
  </si>
  <si>
    <t>https://www.facebook.com/Informalia</t>
  </si>
  <si>
    <t>Carles Spa</t>
  </si>
  <si>
    <t>Important i pertinent article de @Pablo_Iglesias_ ¿Para qué sirve hoy la monarquía? | Opinión | EL PAÍS</t>
  </si>
  <si>
    <t>LUIS</t>
  </si>
  <si>
    <t>Política i ciutat.</t>
  </si>
  <si>
    <t>Alberto Garzón🔻</t>
  </si>
  <si>
    <t>Muy buen artículo de @Pablo_Iglesias_ publicado hoy: “¿Para qué sirve hoy la monarquía?” Totalmente de acuerdo con su conclusión: una nueva república será la mejor garantía para una España unida, justa y democrática.</t>
  </si>
  <si>
    <t>ESPAÑISTAN DEL SUR</t>
  </si>
  <si>
    <t>¡¡VIVA LA LIBERTAD Y LA DEMOCRACIA¡¡¡¡¡</t>
  </si>
  <si>
    <t>Málaga</t>
  </si>
  <si>
    <t>Economista, Coordinador Federal de @iunida. Activista y defensor de los derechos humanos. Autor de 'Por qué soy comunista' (Península, 2017)</t>
  </si>
  <si>
    <t>http://www.agarzon.net</t>
  </si>
  <si>
    <t>Una democracia no puede basarse en formas de gobierno basadas en la fecundación y la herencia de sangre, tal y como explica @Pablo_Iglesias_. #ParaQuéSirveLaMonarquía? ¿Por qué no hablar de una república más democrática y justa?</t>
  </si>
  <si>
    <t>“40 años después quizá haya que preguntarse ¿Sigue siendo útil la monarquía para nuestra democracia?” #ParaQuéSirveLaMonarquía 🤷‍♀️ 🖊 Artículo de @Pablo_Iglesias_ 👇</t>
  </si>
  <si>
    <t>Jesus Berzosa</t>
  </si>
  <si>
    <t>Felipe González, el que tiene el pasado manchado de cal viva. Que pronto se ha olvidado Sánchez de estas palabras que le dirigió Pablo Iglesias desde su escaño en el Congreso.</t>
  </si>
  <si>
    <t>https://pbs.twimg.com/media/Dslz2kmXQAA_dqG.jpg</t>
  </si>
  <si>
    <t>Jesús Santos Gimeno</t>
  </si>
  <si>
    <t>Buenos días, #Alcorcón. Hoy, @Pablo_Iglesias_ se pregunta en la Tribuna de @elpais_espana , ¿#Paraquésirvelamonarquía? Reflexiones vitales para profundizar en nuestra democracia. Lectura imprescindible. #GanarAlcorcón #Democracia</t>
  </si>
  <si>
    <t>Esto lo dice un tío de ascendencia nazi? Hermann Tertsch cree que la monarquía sirve "para evitar que sea necesaria una guerra para impedir una dictadura de Pablo Iglesias"  vía @eldiarioes</t>
  </si>
  <si>
    <t>Alcorcón</t>
  </si>
  <si>
    <t>Portavoz del grupo municipal Ganar #Alcorcón. Trabajando cada día por una ciudad más amable. Responsable de Unidad Popular en Podemos-Comunidad de Madrid</t>
  </si>
  <si>
    <t>https://cmadrid.podemos.info/organizacion/consejo-ciudadano/jesus-santos/</t>
  </si>
  <si>
    <t>Gioconda Belli</t>
  </si>
  <si>
    <t>Muy justo lo que plantea @Pablo_Iglesias_ Le aplaudo. Y cuando tengamos una nueva Nicaragua, una de las cosas fundamentales a revisar es nuestro sistema fiscal. RT @grancocolio: Muy buena la intervención de Pablo Iglesias sobre la devolución de los 60.000 millones€.¿acaso los bancos les perdona las deuda a las personas que no pueden pagarla hipoteca? Los embargan y los desahucian. Tiene que devolver el dinero del rescate.</t>
  </si>
  <si>
    <t>https://twitter.com/grancocolio/status/1064979635308507136</t>
  </si>
  <si>
    <t>https://pbs.twimg.com/media/Dsd9qBYXoAE03un.jpg</t>
  </si>
  <si>
    <t>Poeta, novelista, activista nicaragûense. Novela màs reciente: LAS FIEBRES DE LA MEMORIA</t>
  </si>
  <si>
    <t>http://www.giocondabelli.org</t>
  </si>
  <si>
    <t>Para que no se confunda al pueblo español con los ineptos psoemitas que nos gobiernan. Además al menos el rey no va dando lecciones morales como hace @Pablo_Iglesias_ #ParaQuéSirvePodemos #ParaQuéSirveLaMonarquía</t>
  </si>
  <si>
    <t>Podem Mallorca</t>
  </si>
  <si>
    <t>👑 ¿Cuándo el rey de tu país tiene cuentas en Suiza para pagar menos impuestos, hay que gritar: viva el Rey? @Pablo_Iglesias_ reflexiona sobre la Monarquía en este artículo: #ParaQuéSirveLaMonarquía 👇</t>
  </si>
  <si>
    <t>Tribuna | ¿Para qué sirve hoy la monarquía?; por Pablo Iglesias  vía @el_pais Bonito cuento de La Lechera.</t>
  </si>
  <si>
    <t>https://elpais.com/elpais/2018/11/21/opinion/1542806031_921444.html?fbclid=IwAR3nHPSAuVPStsIBF5uiSz7ydl8U_MoSbubQIU8Pmor1bbdxhCay62E60K8</t>
  </si>
  <si>
    <t>Mallorca - Illes Balears</t>
  </si>
  <si>
    <t>Compte oficial de Podem a Mallorca. Treballem per convertir la indignació en canvi polític. #SuOdioNuestraSonrisa Contacte: coordinadora@mallorca.podemos.info</t>
  </si>
  <si>
    <t>http://mallorca.podemos.info</t>
  </si>
  <si>
    <t>utopixilina</t>
  </si>
  <si>
    <t>⁦@Pablo_Iglesias_⁩ no soy monárquico,pero el rey actual creo q hace su papel y, sobre todo, no molesta para afrontar otros muchos temas más prioritarios.Suficiente por ahora resolver lo de Franco...No entiendo a qué fin abrir ahora este otro melón.</t>
  </si>
  <si>
    <t>fito79</t>
  </si>
  <si>
    <t>La gente razonable se adapta al mundo.La no razonable intenta adaptar el mundo a ellos.El progreso,por tanto,sólo vendrá de gente no razonable.</t>
  </si>
  <si>
    <t>Aunque a muchos les joda leyendo el nombre del autor, aqui va una muestra de como hablar del tema con respeto: Tribuna | ¿Para qué sirve hoy la monarquía?; por Pablo Iglesias  vía @el_pais</t>
  </si>
  <si>
    <t>👑 Hay muchas preguntas sin responder hoy en día en torno a la Monarquía. ¿#ParaQuéSirveLaMonarquía en pleno 2018? @Pablo_Iglesias_ responde en este artículo. 👇</t>
  </si>
  <si>
    <t>Ara Fararas</t>
  </si>
  <si>
    <t>¿Para qué sirve hoy la monarquía? @Pablo_Iglesias_</t>
  </si>
  <si>
    <t>Amor a la música i al Barça</t>
  </si>
  <si>
    <t>Ara, el primero de su nombre, de la Casa Fararas. Señor de las Piedras, embozador de cadenas y barcelonista. Sóc un Homo APM!</t>
  </si>
  <si>
    <t>http://aitorferna.weebly.com</t>
  </si>
  <si>
    <t>Podemos Madrid</t>
  </si>
  <si>
    <t>#ParaQuéSirveLaMonarquía? @Pablo_Iglesias_ reflexiona sobre el papel de la monarquía, una institución que no responde ante la gente, en una España cuyo sentido democrático evoluciona y cambia.</t>
  </si>
  <si>
    <t>Cuenta oficial de Podemos Madrid</t>
  </si>
  <si>
    <t>https://madrid.podemos.info/</t>
  </si>
  <si>
    <t>Ione Belarra</t>
  </si>
  <si>
    <t>El golpe de Estado del 23-F, a pesar de su resolución claroscura, contribuyó a consolidar la idea de que solo el Rey podría evitar un golpe que devolviera el poder a la casta militar. Pero hoy, ¿#ParaQuéSirveLaMonarquía? Brillante @Pablo_Iglesias_</t>
  </si>
  <si>
    <t>Navarra</t>
  </si>
  <si>
    <t>Pedro Larrauri</t>
  </si>
  <si>
    <t>Educadora, investigadora y activista en Derechos Humanos. Ahora haciendo política institucional. Diputada por Navarra. Portavoz Adj. de Podemos en el Congreso</t>
  </si>
  <si>
    <t>https://www.facebook.com/IoneBelarra/</t>
  </si>
  <si>
    <t>Por lo q dicen Echenique y Marx, como Pablo Iglesias vive en un chalet d lujo le corresponde ser considerado un poderoso burgués capitalista y opresor.. El líder d Podemos en la foto no esta arremangado.. ¿eso significa q es él quien maltrata y perjudica a esos trabajadores? ¿? RT @pnique: La política está bien sencilla últimamente. Hay partidos que van a echar gasolina en los conflictos entre los pueblos y hay partidos que se remangan para defender a la gente trabajadora cuando los poderosos la maltratan. Aquí @Pablo_Iglesias_ con los trabajadores de Airbus. 💪</t>
  </si>
  <si>
    <t>https://twitter.com/pnique/status/1064925019451678720</t>
  </si>
  <si>
    <t>pic.twitter.com/YFhlNH1bwC</t>
  </si>
  <si>
    <t>Esto de @Pablo_Iglesias_ 👇🏻👇🏻👇🏻 #ParaQuéSirveLaMonarquía RT @Pablo_Iglesias_: España debe terminar de convertirse en una democracia moderna. Una nueva república será la mejor garantía para una España unida sobre la base del respeto y la libre decisión de sus pueblos y sus gentes. #ParaQuéSirveLaMonarquía.</t>
  </si>
  <si>
    <t>Vigo / Galicia</t>
  </si>
  <si>
    <t>Médico Traumatólogo trabajando en Vigo desde 1984. Defensor DDHH&amp;Libertades. Indignado con corrupción d Partidos y con abusos d Nacionalistas. Ideas Centristas.</t>
  </si>
  <si>
    <t>http://pedrolarrauricandidatoupydvigo.blogspot.com/</t>
  </si>
  <si>
    <t>Belén Santa Cruz</t>
  </si>
  <si>
    <t>"40 años después quizá haya que preguntarse: ¿Sigue siendo útil la monarquía para nuestra democracia?" Interesante reflexión de @Pablo_Iglesias_</t>
  </si>
  <si>
    <t>Economía-Periodismo</t>
  </si>
  <si>
    <t>David Cid</t>
  </si>
  <si>
    <t>¿Para qué sirve hoy la monarquía? buen artículo de @Pablo_Iglesias_</t>
  </si>
  <si>
    <t>Javier Esteban</t>
  </si>
  <si>
    <t>BCN 1980.Llicenciat en Biologia UPF,Màster en Cooperació UB.Coordinador Nacional ICV.Diputat Catalunya en Comú.Les idees i la lluita no viuen sense organització</t>
  </si>
  <si>
    <t>http://www.iniciativa.cat</t>
  </si>
  <si>
    <t>Tribuna | "Una nueva república será la mejor garantía para una España unida sobre la base del respeto y la libre decisión de sus pueblos y sus gentes". Por @Pablo_Iglesias_</t>
  </si>
  <si>
    <t>https://elpais.com/elpais/2018/11/21/opinion/1542806031_921444.html?id_externo_rsoc=TW_CM</t>
  </si>
  <si>
    <t>Guillermo Furlong</t>
  </si>
  <si>
    <t>Mi compadre @Pablo_Iglesias_ y yo somos almas gemelas. Gracias @guardian por incentivar mis noches de ocio.</t>
  </si>
  <si>
    <t>https://pbs.twimg.com/media/DslwdqhU8AA50db.jpg</t>
  </si>
  <si>
    <t>Guadalajara, Jal.</t>
  </si>
  <si>
    <t>Politólogo. Me parezco al que llevaba el ladrillo consigo para mostrar al mundo como era su casa.</t>
  </si>
  <si>
    <t>http://www.tentcomunicacion.com</t>
  </si>
  <si>
    <t>Javier Maura</t>
  </si>
  <si>
    <t>Dice @Pablo_Iglesias_: Desde que la monarquía ya no es el precio a pagar para tener un sistema de libertades (el Ejército no amenaza hoy a la democracia como podía hacerlo hace 40 años) su función histórica para la democracia española ha perdido su sentido</t>
  </si>
  <si>
    <t>http://bit.ly/2Q7OdSz</t>
  </si>
  <si>
    <t>Bilbao, País Vasco</t>
  </si>
  <si>
    <t>Escritor con 2 novelas publicadas, una premiada con el Luis Berenguer. Activista de Amnistía Internacional. Observador crítico de la realidad política/cultural.</t>
  </si>
  <si>
    <t>Óscar Guardingo</t>
  </si>
  <si>
    <t>🖊 Artículo de @Pablo_Iglesias_: #ParaQuéSirveLaMonarquía. Una reflexión sobre la legitimidad de la monarquía en España y sobre la evolución de nuestra democracia.</t>
  </si>
  <si>
    <t>LH - BCN</t>
  </si>
  <si>
    <t>Senador de En Comú Podem y Podemos. Empleo, trabajo, derechos, condiciones materiales de vida. Res publica, plurinacionalidad.</t>
  </si>
  <si>
    <t>https://oscarguardingo.wordpress.com/</t>
  </si>
  <si>
    <t>manuel rivas barrós</t>
  </si>
  <si>
    <t>¿Para qué sirve hoy la monarquía? Por Pablo Iglesias</t>
  </si>
  <si>
    <t>Julio de la 🗼 . 🎗️</t>
  </si>
  <si>
    <t>Qué cojones más grandes tienes @Pablo_Iglesias_ A ver si arreglamos este pais entre todos, a ver.</t>
  </si>
  <si>
    <t>Coruña</t>
  </si>
  <si>
    <t>escritor</t>
  </si>
  <si>
    <t>La República de SSSSSPaña</t>
  </si>
  <si>
    <t>"Quien no es capaz de reirse de si mismo, está expuesto a que los demás se rían de él" Republicano, apoyo feminista, impertinente y políticamente incorrecto❤️💛💜</t>
  </si>
  <si>
    <t>https://www.youtube.com</t>
  </si>
  <si>
    <t>Dionisio Blanco Dona</t>
  </si>
  <si>
    <t>Tribuna | ¿Para qué sirve hoy la monarquía?; por Pablo Iglesias  vía @el_pais"Acertado @Pablo_Iglesias_ "Vamos #CaminoDeLaRepublica</t>
  </si>
  <si>
    <t>Amago de Mago</t>
  </si>
  <si>
    <t>Dice que ha sido muy ligón pero que no le había puesto los cuernos a su mujer en 44 años.Más falso que un euro con la cara de Pablo Iglesias. #FirstDates770</t>
  </si>
  <si>
    <t>Villaverde Alto Madrid</t>
  </si>
  <si>
    <t>Javier Barriuso</t>
  </si>
  <si>
    <t>🖊 #ParaQuéSirveLaMonarquía Interesante artículo de @Pablo_Iglesias_ sobre la legitimidad de la monarquía y la evolución de nuestra democracia.</t>
  </si>
  <si>
    <t>Todo lo que escribo aquí tiene truco.</t>
  </si>
  <si>
    <t>Cañada de Mira (Cuenca)</t>
  </si>
  <si>
    <t>Miembro del Consejo Ciudadano Autonómico de Podemos Castilla-La Mancha (Área de Redes). La verdad os hará libres (Juan 8:32) #Análisis #Gephi #Phyton 🌈</t>
  </si>
  <si>
    <t>manu</t>
  </si>
  <si>
    <t>http://castillalamancha.podemos.info</t>
  </si>
  <si>
    <t>Votando a Vox ayudas a Pablo Iglesias, comiendo en McDonalds creas empleo y si te afilias a Ciudadanos aprendes leyes matemáticas. La derecha andaluza, ya en cines.</t>
  </si>
  <si>
    <t>https://ctxt.es/es/20181121/Politica/22989/manu-garrido-elecciones-andaluc%C3%ADa-PP-Pablo-casado-campaña-sin-candidato-VOX.htm</t>
  </si>
  <si>
    <t>Conquinceletras</t>
  </si>
  <si>
    <t>@Pablo_Iglesias_: "¿Para qué sirve hoy la monarquía?"</t>
  </si>
  <si>
    <t>dog influencer</t>
  </si>
  <si>
    <t>http://www.ctxt.es</t>
  </si>
  <si>
    <t>Voy sin prisas, como sugiere Kavafis, hacia la isla de Ítaca. Cuando llegue, os contaré mi vida...</t>
  </si>
  <si>
    <t>Los 20 tuits más RTs de @gabrielrufian @josepborrellf @joninarritu @tonicanto1 @beatrizbecerrab @pnique @pablo_iglesias_ @carrizosacarlos @quimtorraipla @rosadiezglez @beatriztalegon @albert_rivera @antoniobanos_ el miércoles 21 de noviembre</t>
  </si>
  <si>
    <t>https://twitter.com/trendinaliaES/timelines/1065487078991884288</t>
  </si>
  <si>
    <t>Ἀλέξανδρος</t>
  </si>
  <si>
    <t>¿Para qué sirve el comunismo Pablo Iglesias?</t>
  </si>
  <si>
    <t>https://elpais.com/internacional/2018/11/21/actualidad/1542818427_265277.html?id_externo_rsoc=TW_CC</t>
  </si>
  <si>
    <t>Magerit</t>
  </si>
  <si>
    <t>MCMXCVIII ATM1903</t>
  </si>
  <si>
    <t>Rosa María Artal💜</t>
  </si>
  <si>
    <t>Tribuna | ¿Para qué sirve hoy la monarquía?; por Pablo Iglesias @Pablo_Iglesias_  vía @el_pais</t>
  </si>
  <si>
    <t>Periodista, escritora, europea, inconformista, tenaz, ciudadana del siglo XXI. Coordinadora de Reacciona. Columnista de http://eldiario.es</t>
  </si>
  <si>
    <t>http://rosamariaartal.wordpress.com/</t>
  </si>
  <si>
    <t>Carlos Sánchez Mato🔻</t>
  </si>
  <si>
    <t>“Una nueva república será la mejor garantía para una España unida sobre la base del respeto y la libre decisión de sus pueblos y sus gentes” Comparto el artículo y el análisis del compañero ⁦@Pablo_Iglesias_⁩</t>
  </si>
  <si>
    <t>Economista. Concejal de @jmdvicalvaro y @jmdlatina por @AhoraMadrid. Responsable Políticas Económicas de @iunida</t>
  </si>
  <si>
    <t>http://instagram.com/carlossmato/</t>
  </si>
  <si>
    <t>Pepe Oneto</t>
  </si>
  <si>
    <t>Ya se habla de “ Carnenazo” y sobre todo , del portazo de la Alcaldesa a Pablo Iglesias anunciando que en su plataforma no habrá "cuotas de partido"</t>
  </si>
  <si>
    <t>Pablo Heras 🌈 ✊💜</t>
  </si>
  <si>
    <t>.@Pablo_Iglesias_ : ¿Para qué sirve hoy la monarquía? "Una nueva república será la mejor garantía para una España unida sobre la base del respeto y la libre decisión de sus pueblos y sus gentes"</t>
  </si>
  <si>
    <t>Periodista que ha pasado por diarios, semanarios, radios y televisiones escritor de libros políticos, melómano y escéptico</t>
  </si>
  <si>
    <t>http://www.xn--repblica-q5a.com/josé_oneto/</t>
  </si>
  <si>
    <t>https://www.instagram.com/pabloheraspuente/</t>
  </si>
  <si>
    <t>IamRGR</t>
  </si>
  <si>
    <t>¿Para qué sirve hoy la monarquía? | Opinión | EL PAÍS @pablo_iglesias_</t>
  </si>
  <si>
    <t>¿Para qué sirve hoy la monarquía? Por @Pablo_Iglesias_ "España tragó con el heredero de Franco a cambio de democracia, y el heredero, poco a poco y con la ayuda de los grandes medios, se hizo querer por amplios sectores de la ciudadanía"</t>
  </si>
  <si>
    <t>DANI</t>
  </si>
  <si>
    <t>Esto le va a interesar a un amante del lujo como @Pablo_Iglesias_ RT @LouisVuitton: The #LouisVuitton - Volez, Voguez, Voyagez exhibition is now open to the public with free admission at the Shanghai Exhibition Center. This installment features new pieces to the exhibition. Learn more about #VVVShanghai at</t>
  </si>
  <si>
    <t>Pachi RUIZ</t>
  </si>
  <si>
    <t>https://twitter.com/LouisVuitton/status/1063651198522269696
http://on.louisvuitton.com/6018E8aMn</t>
  </si>
  <si>
    <t>https://pbs.twimg.com/media/DsLZILIW0AAKPeM.jpg</t>
  </si>
  <si>
    <t>tan increíblemente terso y suave que te costará trabajo de creer</t>
  </si>
  <si>
    <t>CEUTA</t>
  </si>
  <si>
    <t>CONSTANTE</t>
  </si>
  <si>
    <t>jose l serrano</t>
  </si>
  <si>
    <t>Capitan Ahab</t>
  </si>
  <si>
    <t>En @el_pais, por cierto, se hace una gran pregunta @Pablo_Iglesias_: ¿Para qué sirve hoy la monarquía? "España tragó con el heredero d Franco a cambio de democracia". Pero hoy día "la monarquía ya no es el precio a pagar para contar con" una democracia...</t>
  </si>
  <si>
    <t>https://okdiario.com/investigacion/2016/01/13/tv-pablo-iglesias-recibido-93-millones-del-gobierno-iran-desde-paraisos-fiscales-52923#.W_ci9OSIBbc.twitter</t>
  </si>
  <si>
    <t>https://pbs.twimg.com/media/Dslimq-WkAAHcLy.jpg</t>
  </si>
  <si>
    <t>Ibiza Baleares ESPAÑA</t>
  </si>
  <si>
    <t>España es de todos los españoles, NO se la entreguemos a los miserables podemitas, nacionalistas y golpistas. Sanchez un presidente traidor !</t>
  </si>
  <si>
    <t>Fiddler's Green</t>
  </si>
  <si>
    <t>Hago siempre el mal. No por maldad, sino por no destacar</t>
  </si>
  <si>
    <t>http://www.malagahoy.es/julian_molina/</t>
  </si>
  <si>
    <t>El teléfono personal (673 298 ***) de Pablo Iglesias está a nombre de una empresa del Gobierno de Irán</t>
  </si>
  <si>
    <t>https://okdiario.com/investigacion/2016/01/18/telefono-personal-673-298-pablo-iglesias-esta-nombre-empresa-del-gobierno-iran-55258#.W_ci4lwMpZU.twitter</t>
  </si>
  <si>
    <t>Anda, @MonederoJC @ierrejon @Pablo_Iglesias_ reclutando jóvenes para @ahorapodemos RT @TorresAren: EN #200AñosRepúblicaDeVenezuela NUNCA Se habían visto estás atrocidades como las que hace la GUARDIA NAZI-ONAL del DICTADOR NICOLÁS MADURO En el ESTADO FALCÓN VENEZUELA A los opositores alREGIMEN Y la comunidad internacional🤐 #21Nov #22Nov #FelizMiercoles</t>
  </si>
  <si>
    <t>Pacofletes</t>
  </si>
  <si>
    <t>Pablo Iglesias coge 🇪🇸 ESPAÑA 🇪🇸 y la HUNDE 👎 el ANIME coge 🇪🇸 ESPAÑA 🇪🇸 y la deja SUGOI!!! 👍💯✔ Copia y pega si estás de acuerdo 🇪🇸 🇪🇸</t>
  </si>
  <si>
    <t>Málaga, España</t>
  </si>
  <si>
    <t>PELIGRO: ⚠️zona copypaste vigile sus tuits⚠️ 💩ⓈⒽⒾⓉ ⓅⓄⓈⓉⒾⓃⒼ💩 me gusta el comunesmo y las chicas 👫👭</t>
  </si>
  <si>
    <t>https://www.instagram.com/pacomoronta</t>
  </si>
  <si>
    <t>𝓻𝓪𝓯𝓪𝓮𝓵 𝓳. 𝓬𝓸𝓻𝓽é𝓼</t>
  </si>
  <si>
    <t>Hola @SanchezCastejon, ¿lo de las elecciones lo vas a mirar pronto o ya si eso lo que decida @pablo_iglesias_?</t>
  </si>
  <si>
    <t>https://pbs.twimg.com/media/DsN_NtoWoAQbwre.jpg</t>
  </si>
  <si>
    <t>Amc</t>
  </si>
  <si>
    <t>#ElCascabel22N juajua Sánchez va a rendir pleitesia al líder de su vice en la sombra, Pablo Iglesias 🤣🤣🤣</t>
  </si>
  <si>
    <t>Igual que Alonso Quijano creyó que las novelas de caballería eran la realidad, hoy estamos convencidos de que la realidad es Twitter 🐂⚾️📻🇪🇸📗🍺🍤Y del ATLETI</t>
  </si>
  <si>
    <t>Licenciada y diplomada. No soy feminista, soy femenina</t>
  </si>
  <si>
    <t>Más comentados ahora en Izquierda/Centro Izqda.: ➀ @sanchezcastejon ↑ ➁ @jonathanmartinz ↑ ➂ @gabrielrufian ↓↓↓ ➃ @PPopular ↓↓↓ ➄ @ander_errasti ↓↓ ➅ @ErnestoEkaizer ↓ ➆ @Pablo_Iglesias_ ↓↓ ➇ @protestona1 ↑</t>
  </si>
  <si>
    <t>lmao</t>
  </si>
  <si>
    <t xml:space="preserve">Zgz </t>
  </si>
  <si>
    <t>sí, super feminazi y sin b12</t>
  </si>
  <si>
    <t>https://curiouscat.me/Hepnos</t>
  </si>
  <si>
    <t>Más influyentes ahora en Izquierda/Centro Izqda.: ➀ @jonathanmartinz ↑ ➁ @ander_errasti ↓↓ ➂ @ErnestoEkaizer ↓ ➃ @protestona1 ↑ ➄ @iescolar ↑ ➅ @Pablo_Iglesias_ ↑ ➆ @ccarnicero ↑ ➇ @juanjoband24 ↑ ➈ @RubenSanchezTW ↑</t>
  </si>
  <si>
    <t>Emilio Garcia</t>
  </si>
  <si>
    <t>"que a la jefatura del Estado se acceda por elecciones y no por fecundación sería profundizar en nuestra democracia" ... ¿Para qué sirve hoy la monarquía?; por @Pablo_Iglesias_  vía @el_pais</t>
  </si>
  <si>
    <t>Funcionario. Opiniones personales y no toma posición de mi empleador. RT no es compartir opinión. #Marathonian #TransAlly #MovieAddicted</t>
  </si>
  <si>
    <t>http://flavors.me/egarciagarcia</t>
  </si>
  <si>
    <t>Más influyentes ahora en Izquierda/Centro Izqda.: ➀ @TigrilloTW ↑ ➁ @jonathanmartinz ↓↓ ➂ @ccarnicero ↓ ➃ @RubenSanchezTW ↓ ➄ @Yo_Soy_Asin ↑ ➅ @Pablo_Iglesias_ ↑ ➆ @ander_errasti ↓ ➇ @boye_g ↑ ➈ @BeatrizTalegon ↑↑</t>
  </si>
  <si>
    <t>joaquin santana</t>
  </si>
  <si>
    <t>#elintermedio A Hermann Tertsch le sale el odio hacia Pablo Iglesias y @ahorapodemos x las orejas 😂😂 #ParaQuéSirveLaMonarquía</t>
  </si>
  <si>
    <t>⬅MUY DE IZQUIERDAS / ❌EX DELEGADO DE UGT/ ⚽Elchecf💚</t>
  </si>
  <si>
    <t>http://www.elcheclubdefutbolsad.com</t>
  </si>
  <si>
    <t>#Congreso @Pablo_Iglesias_ ha defendido de acuerdo con la autoridad bancaria europea, luego de realizar el test de estrés a las 48 mejores entidades de Europa, las dos mejores son públicas, una alemana y una holandesa</t>
  </si>
  <si>
    <t>Butifarrendum</t>
  </si>
  <si>
    <t>pic.twitter.com/0xORqKQotM</t>
  </si>
  <si>
    <t>Marlaska retira parte de la escolta a los ex ministros y al juez Llarena q se quedan ‘solos ante los CDR’ ⬇️ Lo importante es q la mansión de Pablo Iglesias tenga escolta 24/7 y los #Golpistas lleven escolta para evitar q sus escupitajos les saquen un ojo</t>
  </si>
  <si>
    <t>http://www.guardiacivilpolicia.com.es/2018/11/marlaska-retira-parte-de-la-escolta-los.html?m=1</t>
  </si>
  <si>
    <t>José Mª Casas Quinto</t>
  </si>
  <si>
    <t>Esta #sinvergüenza y el resto de #chorizos del #FMI que cobran sueldos de escándalo sin apenas gastos, quieren jodernos las pensiones. Putos #banqueros que roban mas de 10000 al día. @RodrigoRato1 @Congreso_Es @Pablo_Iglesias_ @ierrejon @ahorapodemos</t>
  </si>
  <si>
    <t>Tabarnia, España +=+=</t>
  </si>
  <si>
    <t>Cristiana. Políticamente in/correcta. Bloqueo nazis, merma y sucedáneos. Bloqueada por @Pablo_Iglesias_ y muchos que olvidan que Hitler ganó las elecciones</t>
  </si>
  <si>
    <t>https://www.lavanguardia.com/economia/20181121/453082472717/fmi-espana-crecimiento-pib-pensiones.html</t>
  </si>
  <si>
    <t>Almendra</t>
  </si>
  <si>
    <t>Se parece mucho a la definición de "CHAVISTA". @ahorapodemos @ierrejon @Pablo_Iglesias_ ... RT @Andy66Warhol: La aparición de Podemos en política ha sido, con diferencia, lo peor en democracia. Organización comunista, antiespañola, sectaria, corrupta y criminal. Dirigida por gentuza, por hipócritas, demagogos, mentirosos, ruines, viles, llenos de rencor y maldad. Auténtica escoria</t>
  </si>
  <si>
    <t>https://twitter.com/Andy66Warhol/status/1064811987157336064</t>
  </si>
  <si>
    <t>Demócrata, Docente, experiencia con niños especiales, amante de la buena mesa, amiga de mis amigos, muñequera!</t>
  </si>
  <si>
    <t>Más influyentes ahora en Izquierda/Centro Izqda.: ➀ @jonathanmartinz ↑ ➁ @TigrilloTW ↓ ➂ @Yo_Soy_Asin ↓ ➃ @ccarnicero ↑ ➄ @protestona1 ↑ ➅ @ander_errasti ↓ ➆ @iescolar ↑ ➇ @martuniki ↑ ➈ @boye_g ↑↑ ➉ @Pablo_Iglesias_ ↑</t>
  </si>
  <si>
    <t>Rafael Espinosa</t>
  </si>
  <si>
    <t>Yo como Pablo Iglesias... RT @MonisMalBicho: ¿Qué tan populistas son ustedes hoygan? Test de The Guardian:</t>
  </si>
  <si>
    <t>https://twitter.com/monismalbicho/status/1065691348739768321
https://gu.com/p/9qt5q?CMP=share_btn_fb</t>
  </si>
  <si>
    <t>Chamonator</t>
  </si>
  <si>
    <t>Han copiado letra por letra una ley derogada del 1980 y la han presentado como enmienda a una ley actual... @Pablo_Iglesias_ @sanchezcastejon @gabrielrufian RT @pablocasado_: Acabamos de presentar en el Senado esta enmienda a la reforma de la Ley Orgánica del Poder Judicial, para volver al sistema de elección del Consejo General del Poder Judicial que consagra la Constitución y fortalecer la independencia judicial y la separación de poderes en España.</t>
  </si>
  <si>
    <t>🇲🇽</t>
  </si>
  <si>
    <t>Elucubraciones efímeras. Si no te gustan, no regreses.‼️Contenido sensible para personitas con limitado criterio. ⛔️Nada es personal salvo que te @ 👽</t>
  </si>
  <si>
    <t>http://bit.ly/rafaesp</t>
  </si>
  <si>
    <t>https://twitter.com/pablocasado_/status/1064961885383114754</t>
  </si>
  <si>
    <t>https://pbs.twimg.com/media/DseBLfmXoAcTj1A.jpg</t>
  </si>
  <si>
    <t>Barcelona, Catalunya</t>
  </si>
  <si>
    <t>Gordaco de 26 años declarado indecente y duro de ver en pelotas. Flight Planner en @Fly_Norwegian, diseño rutas pa los aviones. De MadriZ viviendo en Barna 😍</t>
  </si>
  <si>
    <t>https://www.instagram.com/chamonator/</t>
  </si>
  <si>
    <t>🎁Esmegma🍑🎄</t>
  </si>
  <si>
    <t>Francisco Manuel</t>
  </si>
  <si>
    <t>"@Pablo_Iglesias_ ha comprobado algo que ya temía: que @sanchezcastejon puede ser aún más oportunista que él, que ya es decir."</t>
  </si>
  <si>
    <t>https://www.elmundo.es/espana/2018/11/21/5bf460b5268e3e0c458b4617.html</t>
  </si>
  <si>
    <t>[] Soy un puto otako follalolis [] For the Horde []</t>
  </si>
  <si>
    <t>Soy difícil porque a mí todo no me da lo mismo, soy difícil porque busco la excelencia, soy difícil porque creo que la perfección es posible.</t>
  </si>
  <si>
    <t>http://www.facebook.com/mironyruiz</t>
  </si>
  <si>
    <t>Lucas</t>
  </si>
  <si>
    <t>Estoy muy de acuerdo con lo que me salió del test. Similar al compañero @Pablo_Iglesias_ 👏✌💪</t>
  </si>
  <si>
    <t>El Enfurecido</t>
  </si>
  <si>
    <t>https://pbs.twimg.com/media/DskOmhxWkAImuBb.jpg</t>
  </si>
  <si>
    <t>Artículo de mierda de Pablo Mezquitas el Coletas amiguete de los dictadores y amante de los cumunistas. ¿Para qué c——o sirve Pablo Iglesias? RT @SuperRoStar: Lectura obligada. 👇 Articulo muy recomendable de @Pablo_Iglesias_ en @elpais_espana</t>
  </si>
  <si>
    <t>Ciudad Autónoma de Buenos Aire</t>
  </si>
  <si>
    <t>Economísta en proceso. Twittteo un poco de todo. 🔞 Aliado feminista 🇦🇷✌💚 De River, obvio.</t>
  </si>
  <si>
    <t>https://twitter.com/SuperRoStar/status/1065537060851933184
https://elpais.com/elpais/2018/11/21/opinion/1542806031_921444.amp.html</t>
  </si>
  <si>
    <t>http://Instagram.com/lucksebas93</t>
  </si>
  <si>
    <t>Canarias, España</t>
  </si>
  <si>
    <t>☢️🖥️📻📺⤵️ La web políticamente incorrecta. Conservador. Realista. Crítico. ¡Si eres políticamente incorrecto, esta es tu web! #EspañaViva</t>
  </si>
  <si>
    <t>http://www.elenfurecido.wordpress.com</t>
  </si>
  <si>
    <t>https://pbs.twimg.com/media/DskIqwMWsAArpbG.jpg</t>
  </si>
  <si>
    <t>Dominican Herald 🔵</t>
  </si>
  <si>
    <t>Pablo Iglesias pide “una nueva república” como garantía para “una España unida”</t>
  </si>
  <si>
    <t>Revolución Social Ya</t>
  </si>
  <si>
    <t>Una idea... Y si cogemos lo mejor para el pueblo de cada partido?? Lo mismo así funciona mejor la cosa... Ah no!! Calla! Qué sería lo lógico y normal... @sanchezcastejon @Pablo_Iglesias_ @pablocasado_ @agarzon @Albert_Rivera</t>
  </si>
  <si>
    <t>https://ift.tt/2PL31qG</t>
  </si>
  <si>
    <t>Dominican Republic</t>
  </si>
  <si>
    <t>Somos un medio de comunicación con profesionales dominicanos y enfoque global. Visita nuestro portal web.</t>
  </si>
  <si>
    <t>https://goo.gl/LWLbxK</t>
  </si>
  <si>
    <t>Vivo en un país de pandereta, donde nos roban y nos obligan a agachar la cabeza, SE ACABO!!</t>
  </si>
  <si>
    <t>SEREMOS REVOLUCIÓN!! Una oda al luchar contra la corrupción, las injusticias, se acabó mirar para otro lado...SIN PARTIDO, SIN COLOR...</t>
  </si>
  <si>
    <t>MELILALAGUNA</t>
  </si>
  <si>
    <t>Pablo Iglesias está haciedo un gran servicio a España legitimando la monarquía cada vez que abre la boca 😂😂😂😂 RT @jmarcos78: Tribuna de @Pablo_Iglesias_ en @el_pais: "¿Para qué sirve hoy la monarquía? Una nueva república será la mejor garantía para una España unida sobre la base del respeto y la libre decisión de sus pueblos y sus gentes"</t>
  </si>
  <si>
    <t>esteban</t>
  </si>
  <si>
    <t>Miren @Pablo_Iglesias_ @pnique @ierrejon @MonederoJC esta es la basura que ustedes defienden en Venezuela. Exactamente lo mismo que quieren traernos a España. Una tiranía en la que ustedes vivirán como quieren mientras masacran al pueblo y lo matan de hambre. Basura podemita. RT @hermanntertsch: Vean los votantes de Podemos lo que nos traen a España.</t>
  </si>
  <si>
    <t>https://twitter.com/jmarcos78/status/1065529863451365376
https://elpais.com/elpais/2018/11/21/opinion/1542806031_921444.html</t>
  </si>
  <si>
    <t>https://twitter.com/hermanntertsch/status/1065280652805849088
https://twitter.com/jesusmedinae/status/975656805501194240</t>
  </si>
  <si>
    <t>Tegueste, Islas Canarias</t>
  </si>
  <si>
    <t>Cocinero, de buen comer, consumidor de RADIO y del CD Tenerife.</t>
  </si>
  <si>
    <t>Madre de crack</t>
  </si>
  <si>
    <t>Рзяяорцикч</t>
  </si>
  <si>
    <t>#FelizJueves @chutyvk , la próxima vez que vayas a #enLaFrontera pide si acaso que vaya @Pablo_Iglesias_ , que más flow no sé si tiene, pero es más fácil cuadrarle las vocales: . @MonederoJC es totalmente arrítmico 😂👇</t>
  </si>
  <si>
    <t>Ole Ole</t>
  </si>
  <si>
    <t>Y la Fundación Pablo Iglesias, para cuando?, que vaya recortando derechos que vaya, que el día que lo cojan por banda y a toda vela va a saber lo que es ilegalización RT @MariaJamardoC: El Gobierno reconoce que recortará el "derecho de asociación" para ilegalizar la Fundación Franco. Recortando libertades oigan...  @okdiario</t>
  </si>
  <si>
    <t>https://youtu.be/6-xPZQTx3pY</t>
  </si>
  <si>
    <t>pic.twitter.com/XayicOJHIr</t>
  </si>
  <si>
    <t>https://twitter.com/MariaJamardoC/status/1065507431537623042
https://okdiario.com/espana/2018/11/22/gobierno-reconoce-que-recortara-derecho-asociacion-ilegalizar-fundacion-franco-3372954#.W_Zamq7DkTY.twitter</t>
  </si>
  <si>
    <t>Rara canis. Sapiosexual. If you're not animal-friendly, you're not my friend.</t>
  </si>
  <si>
    <t>mi único interés, es la defensa de España y los españoles, todos.</t>
  </si>
  <si>
    <t>David</t>
  </si>
  <si>
    <t>Me ha salido que @Pablo_Iglesias_ me gana (en izquierdismo y populismo 😔.</t>
  </si>
  <si>
    <t>Sergio Márquez</t>
  </si>
  <si>
    <t>Descontento con la política de España, enfadado con el PP sobre lo que dice que el voto de VOX . Y super enfadado con el partido de extrema izquierda podemos con sus dirigentes Pablo Iglesias, Errejon y la que se lleva la palma Echenique. Viva España.</t>
  </si>
  <si>
    <t>https://youtu.be/VskGQC029u4</t>
  </si>
  <si>
    <t>En la trvp shit</t>
  </si>
  <si>
    <t>A veces escribo y hago cosas... y eso. A vegadas charro raro.</t>
  </si>
  <si>
    <t>militante de Vox. you tube Sergio Márquez (Rincón Español)</t>
  </si>
  <si>
    <t>walewska</t>
  </si>
  <si>
    <t>Aquí tienes @MonederoJC , @Pablo_Iglesias_ , @ierrejon , @VerstryngeJorge y demás, vean la auténtica democracia asesina que tanto admiráis ! Lástima PABLO que me tienes bloqueada! RT @jesusmedinae: (Video) La GNB tortura con "sadismo" intentando penetrarle el trasero con una cabilla a un hombre más la paliza que le dan, muestras de violaciones a los DDHH en Venezuela.</t>
  </si>
  <si>
    <t>el azote de ls corru</t>
  </si>
  <si>
    <t>el Mundo</t>
  </si>
  <si>
    <t>Anticomunista,anti-religiones extremistas, anti-feministas radicales.Bloqueada por Iglesias, Otegi,Boye,W.Toledo,Diosdado Cabello y suma y sigue! Amo a 🇻🇪🇪🇸</t>
  </si>
  <si>
    <t>Política y Gobierno Nuevos talentos</t>
  </si>
  <si>
    <t>@MariaCalleSanti</t>
  </si>
  <si>
    <t>Estamos jodidos con los #fascistas estamos mucho más jodidos con los #independentistas con un mentiroso que se llama @Pablo_Iglesias_ el vallecano que era muy humilde el que no quería ir a La Moncloa y quería quedarse en Vallecas, en su humilde casa ¡estamos jodidos señores!</t>
  </si>
  <si>
    <t>Hugo Izquierdo</t>
  </si>
  <si>
    <t>Es el momento oportuno para que el @PSOE vuelva a ser el @PSOE de Pablo Iglesias</t>
  </si>
  <si>
    <t>50años.Pensaba Qué Lo SabíaTodo!Ahora Aprendo! Repúblicana! Libertad Imprescindible! Creyente! Madre! Viajar! DefensAnimal!</t>
  </si>
  <si>
    <t>Alicante, España</t>
  </si>
  <si>
    <t>Del Hércules CF y alicantino. Antes en @goldeplata_com. Ahora @HerculesCF_EFM y @VAVEL_HCF. Escribo en @VAVELcom. Me encantan Finlandia y Macedonia🇫🇮🇲🇰</t>
  </si>
  <si>
    <t>https://www.vavel.com/es/author/izquierdo</t>
  </si>
  <si>
    <t>SeñorS</t>
  </si>
  <si>
    <t>#SavetheInternet @Pablo_Iglesias_ si te queda algo de influencia en la EU porfavor haz lo posible para que el artículo 13 no termine por ser puesto en marcha .</t>
  </si>
  <si>
    <t>Elegancia en estado puro</t>
  </si>
  <si>
    <t>http://www.youtube.com/user/TheSenyorS</t>
  </si>
  <si>
    <t>Javier Zurro</t>
  </si>
  <si>
    <t>El líder del que estoy más cerca según @guardian es... @Pablo_Iglesias_</t>
  </si>
  <si>
    <t>https://pbs.twimg.com/media/Dsj6O1OXoAA8MDp.jpg</t>
  </si>
  <si>
    <t>Periodista en la sección de Cultura de El Español. Cine, cine y más cine. Insultos, informaciones y halagos en javier.zurro@elespanol.com</t>
  </si>
  <si>
    <t>Boniato Diploide</t>
  </si>
  <si>
    <t>Debería seguir a Pedro Sánchez?O quizás a Pablo Iglesias? Nah mejor me hago hater de Rajoy.</t>
  </si>
  <si>
    <t>O. García</t>
  </si>
  <si>
    <t>Soy yo el único que piensa que si ponemos el VAR en el Congreso se acabarían los peoblemas?#rufiantuapellidosequedacorto @sanchezcastejon @Pablo_Iglesias_ @Albert_Rivera @pablocasado_</t>
  </si>
  <si>
    <t>León, España</t>
  </si>
  <si>
    <t>🔛 Lo unico importante es respirar.. ▶️ RRHH 🆗 Foodie 🆕. Healty life</t>
  </si>
  <si>
    <t>El PACIFICADOR 😇</t>
  </si>
  <si>
    <t>#21Noviembre Que manera de reventar este tuitero @FrayJosepho a los comunistas de @ahorapodemos Creo que @Pablo_Iglesias_ no se preguntará esto más nunca!</t>
  </si>
  <si>
    <t>cactus</t>
  </si>
  <si>
    <t>Rock &amp; bluegrass forever🤠🤘 🔴Red Moon Sons🔴 Guitarra y banjo</t>
  </si>
  <si>
    <t>https://pbs.twimg.com/media/Dsj35dKW0AE41ui.jpg</t>
  </si>
  <si>
    <t>Nicolás Reyes Glez.</t>
  </si>
  <si>
    <t>El Cielo</t>
  </si>
  <si>
    <t>"¿Para qué sirve hoy la monarquía?" por Pablo Iglesias Turrión. "Una nueva república será la mejor garantía para una España unida sobre la...</t>
  </si>
  <si>
    <t>Parte de mi felicidad es el bienestar de los que me rodean! #Cristiano ✝️🙏 #Política🤔 #Música607080y90🎼 #Historia 🌎⏳ #Aviación✈️🚁 #Paisajes 🏔️🏖️ #Citas📖🖊️</t>
  </si>
  <si>
    <t>https://elpais.com/elpais/2018/11/21/opinion/1542806031_921444.html?fbclid=IwAR2pLjYeFg9t2OZW3Z8I6ZOwIwNayUCeMibBSDwR-Yv_i88pXBIfFhsHsag</t>
  </si>
  <si>
    <t>Cicerón</t>
  </si>
  <si>
    <t>Que se lo cuente a @Pablo_Iglesias_ y @ahorapodemos... Creo que se conocen de algo pero ahora no caigo de qué... RT @voz_populi: Carmena insta a que no haya "cuotas políticas" en la elección de consejeros del Poder Judicial</t>
  </si>
  <si>
    <t>https://twitter.com/voz_populi/status/1065364489443442695
https://buff.ly/2S0Xw3G</t>
  </si>
  <si>
    <t>Canarias. Africa. América</t>
  </si>
  <si>
    <t>Historiador Independiente. Conocer el pasado para transformar el presente, porque un mundo mejor es posible.</t>
  </si>
  <si>
    <t>http://siniquitate.blogspot.com/</t>
  </si>
  <si>
    <t>Spanish Lawyer. Minarchist libertarian. Zionist. Anticommunist. Tax is theft. Guns. History,Wars,Politics &amp; International News. RT/Fav/Follow not agree.</t>
  </si>
  <si>
    <t>Facultad de Medicina No. 2 UCM Santiago</t>
  </si>
  <si>
    <t>elcomunista.net</t>
  </si>
  <si>
    <t>Màs que gracias es nuestra expresión de solidadrirad y apego a nuestros principios @Pontifex_es @mbachelet @evoespueblo @RigobertMenchu @ONU_derechos @piedadcordoba @PrensaPEsquivel @atilioboron @evagolinger @Pablo_Iglesias_ @ahorapodemos @madueo @CFKArgentina @UcmSantiago</t>
  </si>
  <si>
    <t>https://pbs.twimg.com/media/Dsou79mVAAA934I.jpg</t>
  </si>
  <si>
    <t>Cuba</t>
  </si>
  <si>
    <t>Fundada en 1979. Cuenta con una matrícula proveniente del Caribe, Africa y Cuba.</t>
  </si>
  <si>
    <t>http://www.scu.sld.cu/facultad2/</t>
  </si>
  <si>
    <t>elcomunistaprensa@yahoo.com</t>
  </si>
  <si>
    <t>PRENSA ROJA MUNDO HISPANO</t>
  </si>
  <si>
    <t>https://elcomunista.net/</t>
  </si>
  <si>
    <t>lobo azul</t>
  </si>
  <si>
    <t>Me gustaría saber qué piensas señor @sanchezcastejon con lo que ha dicho @pnique y su jefe @Pablo_Iglesias_ defendiendo al señor rufián y diciendo que el scupitinajo no es merece España que un presidente está asociado con estos impresentables? @PSOE</t>
  </si>
  <si>
    <t>Randall Vega</t>
  </si>
  <si>
    <t>Así me fue en el quiz de @guardian. Lo único q no me cuadra de @Pablo_Iglesias_ es el peinado, para ser sincero.</t>
  </si>
  <si>
    <t>https://pbs.twimg.com/media/Dsj0iMJV4AE1I6E.jpg</t>
  </si>
  <si>
    <t>San José, Costa Rica</t>
  </si>
  <si>
    <t>Director 101.5 Costa Rica Radio. Presentador Costa Rica Noticias en Trece Costa Rica Televisión</t>
  </si>
  <si>
    <t>http://www.costaricamedios.cr</t>
  </si>
  <si>
    <t>Pazamorlibertad</t>
  </si>
  <si>
    <t>#lanoche24h @Pablo_Iglesias_ presidente!!! #sisepuede #unidospodemos RT @manumerimm1:</t>
  </si>
  <si>
    <t>https://twitter.com/manumerimm1/status/1065012692392529920</t>
  </si>
  <si>
    <t>pic.twitter.com/6He0wI1m0D</t>
  </si>
  <si>
    <t>🔪🔪🔪</t>
  </si>
  <si>
    <t>¿Alguna vez conociste a una celebridad? — Pablo Iglesias me habló una vez por Twitter sin haberlo citado.</t>
  </si>
  <si>
    <t>Ciudadana del mundo indignada y impotente de ver los ciudadanos de mi país que pasan necesidades por culpa de unos votantes complices del saqueo</t>
  </si>
  <si>
    <t>https://curiouscat.me/thewatchbegins/post/714077450?t=1542921231</t>
  </si>
  <si>
    <t>haciendo la cencia</t>
  </si>
  <si>
    <t>i'm a female rebel</t>
  </si>
  <si>
    <t>https://www.instagram.com/laura_jpg/</t>
  </si>
  <si>
    <t>Aaron</t>
  </si>
  <si>
    <t>Espero que @Pablo_Iglesias_ y @ierrejon estén viendo #Clandestinovenezuela</t>
  </si>
  <si>
    <t>Periodismo. Real Madrid. Mourinhista. NBA y NFL. #RipCity. #MobSquad. Ogbonnia Okoronkwo</t>
  </si>
  <si>
    <t>Dinman Broyer</t>
  </si>
  <si>
    <t>El paraíso venezolano @ierrejon @Pablo_Iglesias_ @MonederoJC RT @DMAX_es: El único objetivo del secuestro es el dinero. #ClandestinoVenezuela</t>
  </si>
  <si>
    <t>https://twitter.com/dmax_es/status/1065366894759297025</t>
  </si>
  <si>
    <t>pic.twitter.com/944q1mHyjN</t>
  </si>
  <si>
    <t>Pq no denuncian esto y demandan a Pablo Iglesias. Cínico e hipócrita amigo de terroristas. Se oponía vender armas cuando el es socio del país en guerra. Dan miedo estos que son veneno. RT @ACOM_es: 1 de 3 @CristinaSegui_ , analista política en algunos de los principales medios de comunicación españoles (Onda Cero, Ok Diario, ABC, Antena 3,...), ha realizado este reportaje en su reciente visita a Israel. Una mujer libre, fuerte e inteligente, hablando claro y directo.</t>
  </si>
  <si>
    <t>https://twitter.com/ACOM_es/status/1065670231744569345</t>
  </si>
  <si>
    <t>pic.twitter.com/br0vFbaaUx</t>
  </si>
  <si>
    <t>Michael Onio</t>
  </si>
  <si>
    <t>Hoy me ha dado verdadera vergüenza ver a los representantes de la soberanía nacional en el Congreso. Lamentable. Los ciudadanos estamos hartos de sus "y tú más", hagan algo positivo y pónganse de acuerdo. Entiéndase @pablocasado_ @sanchezcastejon @Albert_Rivera @Pablo_Iglesias_</t>
  </si>
  <si>
    <t>Málaga, Andalucía (España)</t>
  </si>
  <si>
    <t>¡APOYO A LAS FCSE! Para que triunfe el mal, basta que los hombres de bien no hagan nada. (No sigo a todo el que me siga).</t>
  </si>
  <si>
    <t>Enrique Iñiguez</t>
  </si>
  <si>
    <t>La Corona; es el Muro mas Solido contra la Ambicion, de Pablo Iglesias. (E.I.B. .- Un Ciudadano del Mundo) RT @Santi_ABASCAL: ¿Que para qué sirve la Monarquía? Para que alguien como tú, Pablo Mezquitas, devorado por el odio y la ambición, e impulsado por los irresponsables oligarcas de El País, no alcance nunca la jefatura del Estado. Solo por eso, ¡Viva el Rey!</t>
  </si>
  <si>
    <t>Soy Cristiano y Catolico (Practicante) y mi mayor Deseo; es Agradar a Dios y Ayudar,❤️ a la Humanidad.</t>
  </si>
  <si>
    <t>FERRERU</t>
  </si>
  <si>
    <t>Manuel Budiño</t>
  </si>
  <si>
    <t>REPUBLICANO, ATEO Y DE IZQUIERDA. Mis tuits estan en ME GUSTA😞</t>
  </si>
  <si>
    <t>Un video brutal reaviva el debate de la caza en España: 12 perros y un venado caen por un barranco  @ActualidadRT @Pablo_Iglesias_ Los responsabls d esta salvajada solo tienen un nombre: criminals. Acabemos con esto d una vez y castiguemos a los culpables</t>
  </si>
  <si>
    <t>https://es.rt.com/6cot</t>
  </si>
  <si>
    <t>Francisco Romero ®</t>
  </si>
  <si>
    <t>Decía Pablo Iglesias"Sois socialistas no para amar en silencio vuestras ideas(...) sino para llevarlas a todas partes.En 139 años much@s dieron su vida.Hoy unos encapuchados en San Juan de Aznalfarache han intentado callarnos a  lo conseguirán #YoConSusana</t>
  </si>
  <si>
    <t>http://golpes.No</t>
  </si>
  <si>
    <t>Valverde/Los Pinos/Valdelamusa</t>
  </si>
  <si>
    <t>Por aquí sigo(aún)</t>
  </si>
  <si>
    <t>https://www.facebook.com/francisco.romero.520</t>
  </si>
  <si>
    <t>PACO &amp;</t>
  </si>
  <si>
    <t>ALEJANDRO RIVERO el mejor neurólogo Español está en paro y reparte c.v. por la calle,otro logro para presumir por el mundo @sanchezcastejon @Pablo_Iglesias_ @gabrielrufian que más necesitáis para que se nos caiga la cara de vergüenza además de primeros (paro,desigualdad y jueces)</t>
  </si>
  <si>
    <t>https://pbs.twimg.com/media/DsjwHJnXoAAok2L.jpg</t>
  </si>
  <si>
    <t>Oviedo Valladolid EE.UU.</t>
  </si>
  <si>
    <t>Daniel Fazeli</t>
  </si>
  <si>
    <t>Del resto de partidos políticos ya lo sabíamos, pero @ahorapodemos nos ilusionó haciéndonos creer que venían a dignificar la vida. Sr @Pablo_Iglesias_ según uno de los entrevistados por @a_lo_gonzo en #ElIntermedio de hoy, es desde agosto cuando el proceso para (HILO 👇)</t>
  </si>
  <si>
    <t xml:space="preserve">Sevilla / Pars </t>
  </si>
  <si>
    <t>Geógrafo por la Universidad de Sevilla. Máster en Gestión del Territorio. 👉 Otro Mundo es posible 🌍</t>
  </si>
  <si>
    <t>http://grupo.us.es/giest/</t>
  </si>
  <si>
    <t>JULIO CRUZ</t>
  </si>
  <si>
    <t>¿Para qué sirve hoy la monarquía?; por Pablo Iglesias</t>
  </si>
  <si>
    <t>Más influyentes ahora en Izquierda/Centro Izqda.: ➀ @jonathanmartinz ↓ ➁ @TigrilloTW ↑ ➂ @JaumeAlonsoCuev ↑ ➃ @ander_errasti ↑ ➄ @juanjoband24 ↑↑ ➅ @Pablo_Iglesias_ ↓ ➆ @protestona1 ↓↓ ➇ @iescolar ↓ ➈ @Yo_Soy_Asin ↓</t>
  </si>
  <si>
    <t>RT ≠ Endorsement</t>
  </si>
  <si>
    <t>Pedro Restrepo</t>
  </si>
  <si>
    <t>CállateNene</t>
  </si>
  <si>
    <t>Estarán viendo #ClandestinoVenezuela los señores @Pablo_Iglesias_ e @ierrejon ?</t>
  </si>
  <si>
    <t>Me considero un hombre de principios, pero los mismos no son materia de negociación. Me gusta la poesía, la pintura y la naturaleza.</t>
  </si>
  <si>
    <t>Gallego. T’ol rato preguntando... Dudo, luego existo. No entiendo, luego pregunto.</t>
  </si>
  <si>
    <t>Manuel Membrilla</t>
  </si>
  <si>
    <t>Estáis viendo @DMAX_es ? @Pablo_Iglesias_ @ierrejon #ClandestinoVenezuela</t>
  </si>
  <si>
    <t>Esteban Requena</t>
  </si>
  <si>
    <t>En una escala bidimensional soy menos populista q @Pablo_Iglesias_ y casi lo mismo de izquierdoso</t>
  </si>
  <si>
    <t>https://pbs.twimg.com/media/DsjvTbYWsAE69lw.jpg</t>
  </si>
  <si>
    <t>Triatleta recreativo. Experto en dar excusas para no entrenar. Médico Familia en el Área Gestión Sanitaria Norte de Almería.</t>
  </si>
  <si>
    <t>eZEBALLOS</t>
  </si>
  <si>
    <t>Pedimos a los bisnietos españoles lo mismo que en su día pidieron a nuestros bisabuelos latinoamericanos, trato humanitario solicitantes de asilo. #elintermedio @ACNURamericas @eACNUR @PSOE @JosepBorrellF @Pablo_Iglesias_ @gabrielrufian</t>
  </si>
  <si>
    <t>Public health Ph.D; University professor, feminist, apprentice political scientist and a perfect globetrotter.</t>
  </si>
  <si>
    <t>alejandro B. pujol</t>
  </si>
  <si>
    <t>Viendo el @El_Intermedio esta noche el reportaje de @a_lo_gonzo sobre los refugiados. Me pregunto, domde estan los políticos hipócritas da la foto con el Aquarius. @Pablo_Iglesias_ @sanchezcastejon tomen nota que parece que las comisarías no tienen papel. #vergüenza</t>
  </si>
  <si>
    <t xml:space="preserve">Santander </t>
  </si>
  <si>
    <t>graduado en derecho, taurino, ciudadano, madridista, defensor de la pena de muerte y del derecho al libre porte de armas.</t>
  </si>
  <si>
    <t>P.D.M</t>
  </si>
  <si>
    <t>Pablo Iglesias celebrando Santa Cecilia</t>
  </si>
  <si>
    <t>pic.twitter.com/rRyxvn7JiH</t>
  </si>
  <si>
    <t>Ernesto A. Oscar</t>
  </si>
  <si>
    <t>Era hora de que los políticos dejaran de parlotear e ir al hueso de la cuestión. Gracias @Pablo_Iglesias_ . El PIB lo produce el pueblo trabajador. Y lo justo es la igualdad. Y si vamos a aportar todos iguales, todos debemos recibir igual pedazo de la torta. RT @Pablo_Iglesias_: "Todos contribuirán al sostenimiento de los gastos públicos de acuerdo con su capacidad económica [...]" Art 31.1 CE. El impuesto de solidaridad a la banca es posible y es de justicia. España necesita que la banca deje de tener privilegios y pague lo que debe a la ciudadanía.</t>
  </si>
  <si>
    <t>https://twitter.com/Pablo_Iglesias_/status/1064964257324957701</t>
  </si>
  <si>
    <t>gonzalo</t>
  </si>
  <si>
    <t>En la quiz de @guardian me dio @Pablo_Iglesias_ y no podría haberme dado mejor 😀</t>
  </si>
  <si>
    <t>Fausto Liz</t>
  </si>
  <si>
    <t>“Prefiero gestionar las contradicciones de la victoria, a escribir novelas sobre nuestra hermosa derrota.” Pablo Iglesias.</t>
  </si>
  <si>
    <t>https://pbs.twimg.com/media/Dsjql3PW0AAzxrO.jpg</t>
  </si>
  <si>
    <t>Montevideo, Uruguay</t>
  </si>
  <si>
    <t>La derecha te saca derechos.</t>
  </si>
  <si>
    <t>República Dominicana</t>
  </si>
  <si>
    <t>#Dominicano I Dirigente Político I Diplomático I Productor de "Política Exterior en TV", domingos 7:00 PM por @canal_19 I Diputado suplente al @PARLACEN</t>
  </si>
  <si>
    <t>mtr</t>
  </si>
  <si>
    <t>Enhorabuena @sanchezcastejon , ya se va notando la manita de @Pablo_Iglesias_ #Chavesalpoder</t>
  </si>
  <si>
    <t>JOSE LUIS DIAZ</t>
  </si>
  <si>
    <t>Éste miserable nazi, está muy enfermo Hermann Tertsch cree que la monarquía sirve "para evitar que sea necesaria una guerra para impedir una dictadura de Pablo Iglesias"  vía @eldiarioes</t>
  </si>
  <si>
    <t>https://elpais.com/politica/2018/11/21/actualidad/1542798709_547217.html</t>
  </si>
  <si>
    <t>#YovotePodemosNomarea</t>
  </si>
  <si>
    <t>📻🔴⚪️PROGRAMA ESPECIAL | Este Viernes queremos celebrar la llegada de @JoseAlbertoLpez al primer equipo y preparamos un especial con el partido #GranadaSporting En DIRECTO, en Gijón, en la Cafetería Alameda, Avda Pablo Iglesias 89, Gijón. 🎙️Con @CoqueGarciaJT y @Ahora_Sporting</t>
  </si>
  <si>
    <t>Arcturus</t>
  </si>
  <si>
    <t>Eso no se dice. Queda mal delante de @ahorapodemos y @Pablo_Iglesias_</t>
  </si>
  <si>
    <t>https://pbs.twimg.com/media/Dsnd2FnWoAIghW_.jpg</t>
  </si>
  <si>
    <t>https://twitter.com/rubnpulido/status/1065346036292567041</t>
  </si>
  <si>
    <t>Un cerebro licuado en alcohol. -- Hermann Tertsch cree que la monarquía sirve "para evitar que sea necesaria una guerra para impedir una dictadura de Pablo Iglesias"  vía @eldiarioes</t>
  </si>
  <si>
    <t>AdrianIlie</t>
  </si>
  <si>
    <t>No os da vergüenza lo q pasa en el congreso? En teoría deberíais ser un ejemplo pero estáis muy lejos de eso @sanchezcastejon @Pablo_Iglesias_ @pablocasado_ @Albert_Rivera @gabrielrufian y demás #song #escupitajo</t>
  </si>
  <si>
    <t>piragüista e ingeniero</t>
  </si>
  <si>
    <t>Más comentados hoy en Izquierda/Centro Izqda.: ➀ @gabrielrufian ↓ ➁ @PPopular ↑↑ ➂ @sanchezcastejon ↓ ➃ @PSOE ↑ ➄ @susanadiaz ↓↓↓ ➅ @jonathanmartinz ↓ ➆ @iescolar ↓ ➇ @Pablo_Iglesias_ ↓ ➈ @protestona1 ↓ ➉ @boye_g ↑</t>
  </si>
  <si>
    <t>https://pbs.twimg.com/media/DsjlXGdXQAEQuop.jpg</t>
  </si>
  <si>
    <t>NEO SyR ❤️💛💜 🇪🇺</t>
  </si>
  <si>
    <t>Kike #MD</t>
  </si>
  <si>
    <t>Hum. Según The Guardian soy populista de extrema izquierda y mi alter ego es @Pablo_Iglesias_ xdd</t>
  </si>
  <si>
    <t>https://www.theguardian.com/world/ng-interactive/2018/nov/21/how-populist-are-you-quiz?CMP=twt_gu</t>
  </si>
  <si>
    <t>Barrio de Moratalaz, Madrid</t>
  </si>
  <si>
    <t>De la ciudad del NO PASARÁN. Biólogo. Investigador UCM. En el Jocker. Con @MTZ_despierta. Aún tenemos pendiente una Revolución antifascista y anticapitalista.</t>
  </si>
  <si>
    <t>https://curiouscat.me/KikeMoratalaz</t>
  </si>
  <si>
    <t>Progresista, republicano y Podemos es útil por ahora#SíSePuede.Ignoro tip@s con 🇪🇸 (salvo excepciones) 'El sabio puede cambiar de opinión. El necio, nunca' Kant</t>
  </si>
  <si>
    <t>Más influyentes hoy en Izquierda/Centro Izqda.: ➀ @jonathanmartinz ↑↑↑↑ ➁ @iescolar ↓ ➂ @protestona1 ↓ ➃ @boye_g ↑ ➄ @Pablo_Iglesias_ ↑↑ ➅ @Yo_Soy_Asin ↑↑ ➆ @RubenSanchezTW ↑↑ ➇ @ander_errasti ↑ ➈ @ccarnicero ↑</t>
  </si>
  <si>
    <t>https://pbs.twimg.com/media/DsjlIsyX4AItZfS.jpg</t>
  </si>
  <si>
    <t>Donald Tramp</t>
  </si>
  <si>
    <t>Uno de los mejores hilos de Twitter... @sanchezcastejon @Pablo_Iglesias_ a lo mejor podéis coger ideas para lo de la Comisión de la Verdad... RT @QbienTanMal: Si sabes qué había en Auschwitz pero desconoces Albatera, en Alicante , si has oído hablar de Mauthausen pero nadie te ha hablado de Hospitalet de l’Infant (Tarragona) Si alguien te contó que Dachau estaba a 13 km al noroeste de Múnich pero nadie te contó ...</t>
  </si>
  <si>
    <t>https://twitter.com/qbientanmal/status/1038525730840358913</t>
  </si>
  <si>
    <t>Tramp Tower</t>
  </si>
  <si>
    <t>POTUS. MAKE AMERICA FAKE AGAIN. Tuiteo in English y en Español. Republicano, como Karmele. Odio el populismo, sobre todo el que hacen otros</t>
  </si>
  <si>
    <t>Que asco das @Pablo_Iglesias_ ! Oye porque no te vas a tu amada Venezuela y regalas tú “casoplon” a tus queridos refugiados ?? RT @Pablo_Iglesias_: Me confirman que veré a Oriol Junqueras el viernes. Él y sus compañeros deben estar libres. Hay que trabajar duro para desjudicializar el conflicto, defender el diálogo y construir vías democraticas. Creo que eso sólo es posible si la mayoría de la moción de censura se mantiene</t>
  </si>
  <si>
    <t>https://twitter.com/pablo_iglesias_/status/1052468256416718848</t>
  </si>
  <si>
    <t>TomasRodajadeVidriera</t>
  </si>
  <si>
    <t>Y quienes serian los encargados de gobernar la #CaminoDeLaRepublica @sanchezcastejon ? @Pablo_Iglesias_ ? @pnique ? @gabrielrufian ? Pues para una república con estos o alguno de estos mandatarios,prefiero el régimen de Franco.</t>
  </si>
  <si>
    <t>El que lee mucho y anda mucho,ve mucho y sabe mucho.</t>
  </si>
  <si>
    <t>Esto lo tiene que parar la comunidad internacional inmediatamente. @Pablo_Iglesias_ Viendo lo que hacen tus amigos y tus asesorados por aquí no te vas a comer un rosco. RT @hermanntertsch: Aquí ciertos conceptos de orden público que comparten los comunistas de Podemos con sus benefactores chavistas. Podrían ser Nicaragua o Cuba, pero estas imágenes son Venezuela. Recuérdenlas bien. Y cuando las vean en España con el Frente Popular no digan que no podían imaginarlo.</t>
  </si>
  <si>
    <t>Javier Alonso</t>
  </si>
  <si>
    <t>(La derecha y su suicida camino de profecía autocumplida) Hermann Tertsch cree que la monarquía sirve "para evitar que sea necesaria una guerra para impedir una dictadura de Pablo Iglesias"</t>
  </si>
  <si>
    <t>https://twitter.com/hermanntertsch/status/1065242244674920448
https://twitter.com/torresaren/status/1064991662219411456</t>
  </si>
  <si>
    <t>Madrid ESPAÑA</t>
  </si>
  <si>
    <t>En el diván de la coherencia y el hastío, observando nuestra historia. Orgulloso de ser español,🇪🇸🇪🇸 y enemigo del Populismo</t>
  </si>
  <si>
    <t>http://city-diary.tumblr.com</t>
  </si>
  <si>
    <t>http://mosaicomercurio.blogspot.com</t>
  </si>
  <si>
    <t>Eva Evita Eva</t>
  </si>
  <si>
    <t>#AdelanteAndalucía vamos que queda poco para el #24N y debemos abarrotar el acto con @Pablo_Iglesias_ @TeresaRodr_ y un gran equipo @AdelanteAND y en especial para sonreír el #2D porque ganamos si o si vamos a echar a Susana los andaluces merecemos gente honrada y no ladrones</t>
  </si>
  <si>
    <t>Manuel</t>
  </si>
  <si>
    <t>A Borrell le adoran los fachas, Pablo Iglesias del POSE no estaría muy orgulloso de eso</t>
  </si>
  <si>
    <t>https://pbs.twimg.com/media/DsjizbAW0AAbKSK.jpg</t>
  </si>
  <si>
    <t>Dos Hermanas, España</t>
  </si>
  <si>
    <t>Cáceres</t>
  </si>
  <si>
    <t>Espartana incansable .. sin necesidad de pedir permiso para ser libre.</t>
  </si>
  <si>
    <t>Reivindicar la separación Iglesia-Estado. Por un Estado Laico</t>
  </si>
  <si>
    <t>Enrique</t>
  </si>
  <si>
    <t>Albert Rivera farfulla un 'capullo' y 'vaya gilipollas' a Pablo Iglesias en el debate de investidura  vía @publico_es</t>
  </si>
  <si>
    <t>Manuel Báez</t>
  </si>
  <si>
    <t>Mi compañera @CabreraMaby habla con pasión en un acto junto a @Pablo_Iglesias_. Entra en  para votar y revalidar @Madrid en 2019! #VotaTuLista2019 RT @CabreraMaby: Podemos es una herramienta de empoderamiento que nos convierte en protagonistas de nuestra propia historia. La participación está en nuestro ADN, por eso te animo a entrar en  y votar para revalidar Madrid. Puedes votar hasta el domingo 25, a las 23:59h</t>
  </si>
  <si>
    <t>https://www.publico.es/politica/albert-rivera-farfulla-capullo-y.html</t>
  </si>
  <si>
    <t>http://participa.podemos.info
https://twitter.com/CabreraMaby/status/1065346960947855361</t>
  </si>
  <si>
    <t>https://pbs.twimg.com/media/DsjfZacXQAA3UYM.jpg</t>
  </si>
  <si>
    <t>Hijo dEnrique Añino ilzarbe dAndueza Sdad Sevilla Balompié, directivo varios presidentes Balompié Betis Real_idad Centenaria y artífice Escudo 1931-1932.</t>
  </si>
  <si>
    <t>Músico y articulista, CM. #AhoraMadrid, miembro de Secretaría de Sociedad Civil y comunicación Podemos Madrid</t>
  </si>
  <si>
    <t>Angeles Cambil</t>
  </si>
  <si>
    <t>Voy a ver la 13 tv. No suelo ver tv. pero después de éste repaso sr. @Pablo_Iglesias_ me he animado, no cambio ni un punto ni una coma.</t>
  </si>
  <si>
    <t>pic.twitter.com/uBBj1oMrzl</t>
  </si>
  <si>
    <t>Me gusta aprender de personas inteligentes. Creo en la igualdad de los seres humanos, detesto a los supremacistas ( por la razón que sea)</t>
  </si>
  <si>
    <t>Más influyentes ahora en Izquierda/Centro Izqda.: ➀ @jonathanmartinz ↑ ➁ @JaumeAlonsoCuev ↓ ➂ @TigrilloTW ↓ ➃ @protestona1 ↑ ➄ @martuniki ↑ ➅ @ander_errasti ↓ ➆ @Pablo_Iglesias_ ↑ ➇ @iescolar ↓ ➈ @ccarnicero ↑</t>
  </si>
  <si>
    <t>David 🛰 🎗</t>
  </si>
  <si>
    <t>Pablo Iglesias (@Pablo_Iglesias_): “Frente a la corrupción, no decimos viva el rey, decimos: ¡Viva la República!”  #CaminoDeLaRepública ❤️💛💜</t>
  </si>
  <si>
    <t>https://www.cuartopoder.es/espana/2018/11/03/iglesias-frente-a-la-corrupcion-no-decimos-viva-el-rey-decimos-viva-la-republica/</t>
  </si>
  <si>
    <t>maria</t>
  </si>
  <si>
    <t>me gustaria saber por que mi hermana y sus amigas se peinan como pablo iglesias</t>
  </si>
  <si>
    <t>A Coruña, Galiza</t>
  </si>
  <si>
    <t>Verdades coma puños, aínda que doian. Galego 100% e de esquerdas. Podemos e poderemos. Participo en @MiercolesRepub1. ❤💛💜 ✊</t>
  </si>
  <si>
    <t>Cádiz</t>
  </si>
  <si>
    <t>https://twitter.com/Ashton5SOS/status/557351971762343939?s=19</t>
  </si>
  <si>
    <t>Sánchez se distancia de Iglesias y descarta suspender la privatización de Bankia | Público Como no espabile ⁦@Pablo_Iglesias_⁩ ⁦@sanchezcastejon⁩ lo arrastrará hasta las cloacas...y ahí los ahogará...y nos quedaremos sin alternativa 😡</t>
  </si>
  <si>
    <t>Tribuna | ¿Para qué sirve hoy la monarquía?; por Pablo Iglesias  #LoMásVistoEnOpinión</t>
  </si>
  <si>
    <t>https://www.publico.es/politica/sanchez-distancia-iglesias-descarta-suspender-privatizacion-bankia.html</t>
  </si>
  <si>
    <t>Guardaespaldas</t>
  </si>
  <si>
    <t>Muy propio de los "países democráticos" que tanto veneráis, ¿verdad @Pablo_Iglesias_ , @pnique y demás @ahorapodemos ? RT @ElMundoEspana: Pedro Sánchez no verá a la oposición cubana para no desairar al castrismo en su viaje a la isla</t>
  </si>
  <si>
    <t>https://twitter.com/ElMundoEspana/status/1065319375618678784
https://www.elmundo.es/espana/2018/11/21/5bf5ab23e2704ea02f8b4581.html</t>
  </si>
  <si>
    <t>Seguid así y vuestras nietas llevarán burka.</t>
  </si>
  <si>
    <t>Miércoles Republicano ❤💛💜</t>
  </si>
  <si>
    <t>Pablo Iglesias, @Pablo_Iglesias_ 👇👇 "Menos patriotismo de protocolo y más patriotismo de las cosas de comer. Más patriotismo de los derechos sociales. Ese patriotismo se llama REPÚBLICA." ❤️💛💜  #CaminoDeLaRepública</t>
  </si>
  <si>
    <t>https://pbs.twimg.com/media/DpeBNd0WsAAJh0W.jpg</t>
  </si>
  <si>
    <t>http://cort.as/-CL87</t>
  </si>
  <si>
    <t>Somos Miércoles Republicano y todos los miércoles, a las 21.00 HORAS lanzamos un hashtag por la III República. ¡Únete y vamos junt@s a por la tercera! ❤️💛💜</t>
  </si>
  <si>
    <t>Luis Muñoz Alonso</t>
  </si>
  <si>
    <t>Los #presupuestos de @sanchezcastejon y @Pablo_Iglesias_ El FMI pide a España medidas fiscales creíbles y una reforma de las pensiones</t>
  </si>
  <si>
    <t>https://elpais.com/economia/2018/11/21/actualidad/1542811568_541791.html</t>
  </si>
  <si>
    <t>Juan Antonio Parra</t>
  </si>
  <si>
    <t>El bebedor @hermanntertsch cree que la monarquía sirve "para evitar que sea necesaria una guerra para impedir una dictadura de Pablo Iglesias"  vía @eldiarioes</t>
  </si>
  <si>
    <t>Coordinador en @telemadrid, ahora en @BuenosDiasTM, antes en @GrupoIbersaf, #Videomedia y #RadioEspaña. Y PEDAGOGO http://facebook.com/lmunozalonso</t>
  </si>
  <si>
    <t>https://www.linkedin.com/in/luis-muñoz-alonso-6445658b</t>
  </si>
  <si>
    <t>Murcia (Españistán)</t>
  </si>
  <si>
    <t>Aficionado a las buenas músicas del mundo y al baloncesto. Indignado, no. Hasta los huevos... Instagram: @j.parrag</t>
  </si>
  <si>
    <t>Alfredo Villar Fdez.</t>
  </si>
  <si>
    <t>A lo mejor, a @Pablo_Iglesias_ y a @sanchezcastejon se les olvida contarte que los 22.000 millones que nos costó Bankia fueron para pagar una banca pública: las cajas de ahorro que mangoneaban los políticos a su gusto. Por cierto, @sanchezcastejon lo sabe de ciencia propia. RT @pnique: A lo mejor, entre los gritos de "fascistas" y "golpistas" y el escupitajo fantasma a Borrell, se les olvida contarte que @Pablo_Iglesias_ ha propuesto a @sanchezcastejon que los 22.000 millones que nos costó Bankia sirvan para tener una banca pública como en Alemania u Holanda.</t>
  </si>
  <si>
    <t>https://twitter.com/pnique/status/1065189164335935488</t>
  </si>
  <si>
    <t>IgnacioSR</t>
  </si>
  <si>
    <t>Hoy en el trabajo todos tenemos la sensación de que la crisis que viene va a ser peor que la última. Llevas poco tiempo al frente, pero señor @sanchezcastejon @pablocasado_ @Albert_Rivera @Pablo_Iglesias_ ¿Podríais poneros de acuerdo en algo para que creamos que no va a ser así?</t>
  </si>
  <si>
    <t>Humanos. Reflexiones</t>
  </si>
  <si>
    <t>Es normal que un ultranacionalista escupa sobre la democracia: lean Uds la historia de los nacionalismos en la Europa del s. XX y sus "heroicidades" #Rufián #ERC #nazionalismo #Borrell #ElIntermedio #PP @protestona1 @MonederoJC @Pablo_Iglesias_ #RojoLaRevancha</t>
  </si>
  <si>
    <t>Oops, @Pablo_Iglesias_ asaltando los cielos junto a un periodista de La Vanguardia, un periódico catalán de derechas. La revolución está al caer🙊😏 RT @Laenredadera: Pablo Iglesias y Enric Juliana presentan su libro "Nudo España" el lunes en #Zaragoza. Seguro que será un debate interesante. Allí estaremos</t>
  </si>
  <si>
    <t>J.A. MARCELLO</t>
  </si>
  <si>
    <t>Top Mentiras de Pablo Iglesias Podemos  vía @YouTube</t>
  </si>
  <si>
    <t>https://twitter.com/Laenredadera/status/1065286450428739584</t>
  </si>
  <si>
    <t>https://pbs.twimg.com/media/DsioXV3XoAAe76Z.jpg</t>
  </si>
  <si>
    <t>https://youtu.be/j_nd7uCD2po</t>
  </si>
  <si>
    <t>Hace falta regenerar la vida política con gente e ideas nuevas y con espíritu de sacrificio.</t>
  </si>
  <si>
    <t>El vídeo que Pablo Iglesias no quiere que veas  vía @YouTube</t>
  </si>
  <si>
    <t>https://youtu.be/dAunrj9ZuP0</t>
  </si>
  <si>
    <t>Oops, @Pablo_Iglesias_ asaltando los cielos junto a un periodista de La Vanguardia, un periódico catalán de derechas. La revolución está al caer🙊😏 @VuelvaLaURSS</t>
  </si>
  <si>
    <t>https://pbs.twimg.com/media/DsjYgLiWkAEv3Ll.jpg</t>
  </si>
  <si>
    <t>Juan Suárez 🇪🇸🇪🇺</t>
  </si>
  <si>
    <t>Un referente en la investigación periodística @guardian sitúa a @ahorapodemos entre los partidos populistas que amenazan la democracia. @Pablo_Iglesias_ junto a Orban, Le Pen, Salvini... Ahí lo dejo.</t>
  </si>
  <si>
    <t>https://www.theguardian.com/world/ng-interactive/2018/nov/20/revealed-one-in-four-europeans-vote-populist</t>
  </si>
  <si>
    <t>Malvarrosa</t>
  </si>
  <si>
    <t>GONZALO DE LA CAMPA</t>
  </si>
  <si>
    <t>Lo que todos los políticos deberían saber. Pásalo!  #Politica El Senado, El FMI, #poesia @elmundoes @elpais_espana @tve_tve @antena3com @cuatro @salvadostv @DebatAlRojoVivo @SextaNocheTV @sanchezcastejon @sanchezcastejon @Albert_Rivera @Pablo_Iglesias_</t>
  </si>
  <si>
    <t>EL VÍDEO QUE PABLO IGLESIAS NO QUIERE QUE VEAS  vía @YouTube</t>
  </si>
  <si>
    <t>https://youtu.be/jOKUHInEhjE</t>
  </si>
  <si>
    <t>https://youtu.be/m66j1JQzVT0</t>
  </si>
  <si>
    <t>Consultor de Marketing Online, Divilover y WordPressero.Viviendo una vida que no me atreví a soñar y queriendo ayudar a los demás a conseguir lo mismo.</t>
  </si>
  <si>
    <t>https://www.cursowp-online.com</t>
  </si>
  <si>
    <t>TONI LUQUE ANDRES</t>
  </si>
  <si>
    <t>Estais rompiendo España y haciendo que crezca el odio entre la gente!!! @pablocasado_ @sanchezcastejon @Albert_Rivera @Pablo_Iglesias_</t>
  </si>
  <si>
    <t>CARTAGENA</t>
  </si>
  <si>
    <t>Barbilla bien alta,mirada al frente,paso firme y patrás ni para tomar impulso</t>
  </si>
  <si>
    <t>Vergüenza me da que gente de vuestra calaña nos represente, y este país esté en vuestras manos,en manos de aquellos que tratan la vida de los españoles en el Congreso como si fuera el patio de un colegio @sanchezcastejon @pablocasado_ @Pablo_Iglesias_ @Albert_Rivera</t>
  </si>
  <si>
    <t>Noticias 24 horas</t>
  </si>
  <si>
    <t>OTRAS #ELECCIONES MÁS NO cambiaran la #España a cuatro, por lo que el problema es de ellos no de los votantes. Ellos son: Albert Rivera y Pablo Iglesias.</t>
  </si>
  <si>
    <t>http://www.noticias24horas.com/ue-albert-rivera-presente-una-mocion-de-censura-o-llegue-a-acuerdos-sobre-lo-acordado-psoe-podemos/</t>
  </si>
  <si>
    <t>https://pbs.twimg.com/media/DsobCslVsAAPSx_.jpg</t>
  </si>
  <si>
    <t>#Congreso @Pablo_Iglesias_ ha defendido que de acuerdo con la autoridad bancaria europea, luego de realizar el test de estrés a las 48 mejores entidades de Europa, las dos mejores son públicas, una alemana y una holandesa</t>
  </si>
  <si>
    <t>Oxford</t>
  </si>
  <si>
    <t>No cuentes las Noticias, haz que las Noticias cuenten.</t>
  </si>
  <si>
    <t>http://www.Noticias24horas.com</t>
  </si>
  <si>
    <t>Daoiz Velarde</t>
  </si>
  <si>
    <t>Hola, @Pablo_Iglesias_. Si andas corto de cantera, @NoSoyLaGente puede ser una opción ideológicamente afín #JustSaying RT @NoSoyLaGente: @velardedaoiz @Santiag0ma @jmlopezzafra Seguid hundiéndome, por favor.</t>
  </si>
  <si>
    <t>https://twitter.com/nosoylagente/status/1065332685046870016</t>
  </si>
  <si>
    <t>Demoledor informe de @amnistiaespana sobre el trato que reciben las víctimas de violencia sexual. #NoConsiento. Urge tomar medidas para dar una asistencia adecuada a las víctimas y hacer frente a estos delitos.</t>
  </si>
  <si>
    <t>https://www.es.amnesty.org/en-que-estamos/noticias/noticia/articulo/invisibilizadas-cuestionadas-desprotegidas-y-juzgadas-millones-de-mujeres-victimas-de-violencia</t>
  </si>
  <si>
    <t>De momento aquí</t>
  </si>
  <si>
    <t>https://pbs.twimg.com/media/DsnyQsMWkAA1909.jpg</t>
  </si>
  <si>
    <t>Individuo bastante individualista. No me hables en plural</t>
  </si>
  <si>
    <t>Aquí me sitúa la encuesta de The Guardian @Pablo_Iglesias_</t>
  </si>
  <si>
    <t>Piranha Plant Gang</t>
  </si>
  <si>
    <t>https://pbs.twimg.com/media/DsjSNp5WsAAsKWi.jpg</t>
  </si>
  <si>
    <t>Pablo Iglesias dinero</t>
  </si>
  <si>
    <t>https://pbs.twimg.com/media/Dsoam_DU8AA31vm.jpg</t>
  </si>
  <si>
    <t>Jerez de la Frontera, España</t>
  </si>
  <si>
    <t>Buscavidas profesional, historiador ocasional.</t>
  </si>
  <si>
    <t>Los nazis me intentan chapar pero soy más fuerte</t>
  </si>
  <si>
    <t>Javier F. Barrera</t>
  </si>
  <si>
    <t>Cuaderno de Campaña. Día 6. Mar y olivar. Cádiz y Jaén. Territorios e Identidad. Conceptos y Pensamientos ¿Qué tiene Teresa Rodríguez? cc @Pablo_Iglesias_ @VeraNoelia &amp; @TeresaRodr_</t>
  </si>
  <si>
    <t>https://granadablogs.com/cableados/2018/11/21/que-tiene-teresa/</t>
  </si>
  <si>
    <t>Pablo Iglesias: "Un grupo de lúmpenes, gentuza de clase mucho más baja q...  vía @YouTube</t>
  </si>
  <si>
    <t>https://pbs.twimg.com/media/DsjRG3xXgAYkyJU.jpg</t>
  </si>
  <si>
    <t>https://youtu.be/UJezTmUinNo</t>
  </si>
  <si>
    <t>SS-Donosti</t>
  </si>
  <si>
    <t>Periodista mutante. http://www.ideal.es/ de Vocento &amp; I♥ http://1001medios.net</t>
  </si>
  <si>
    <t>http://periodismoalpilpil.blogspot.com.es/</t>
  </si>
  <si>
    <t>Tribuna | ¿Para qué sirve hoy la monarquía?; por Pablo Iglesias  vía @el_pais #FueraMonarquia #RepúblicaYA #VivaLaRepública</t>
  </si>
  <si>
    <t>Jaime de Berenguer</t>
  </si>
  <si>
    <t>Podemos y sus líderes @pablo_iglesias_ @ierrejon @pnique y @MonederoJC han envenenado a los españoles con mentiras, ellos y sus voceros en los medios de comunicación, un crimen social. España: Líderes | Opinión | EL PAÍS</t>
  </si>
  <si>
    <t>https://elpais.com/elpais/2018/11/16/opinion/1542382409_239207.html</t>
  </si>
  <si>
    <t>Digo lo que pienso, a veces me equivoco. “Hay que apartar de nosotros el mal gusto de querer coincidir con muchos” Nietzsche.Liberal. Concejal de Madrid 2011-15</t>
  </si>
  <si>
    <t>Kike © エンリケモリナ 💯 🦇</t>
  </si>
  <si>
    <t>Hasta @Pablo_Iglesias_ lo tiene claro. VOTA A @vox_es el único partido por y para España.</t>
  </si>
  <si>
    <t>https://pbs.twimg.com/media/DsjNRnwXcAEqmte.jpg</t>
  </si>
  <si>
    <t>Siempre Valencia/España</t>
  </si>
  <si>
    <t>La Familia y Amigos mi riqueza. Karate Kyokushinkai la forma, De sangre Blanquinegra! Fui de la CN10, Diario Che. Cantera del Juan Comenius Æ 🇪🇸</t>
  </si>
  <si>
    <t>http://instagram.com/kikevlc79</t>
  </si>
  <si>
    <t>Julián 🖖</t>
  </si>
  <si>
    <t>Hola @pablo_iglesias_!</t>
  </si>
  <si>
    <t>https://pbs.twimg.com/media/DsndyGMWoAAyXXq.jpg</t>
  </si>
  <si>
    <t>https://pbs.twimg.com/media/DsjMjXxW0AAeyV-.jpg</t>
  </si>
  <si>
    <t>Córdoba, Argentina</t>
  </si>
  <si>
    <t>Mi próximo tuit es mentira.</t>
  </si>
  <si>
    <t>http://medium.com/@erreJulian</t>
  </si>
  <si>
    <t>Puerto de la Cruz</t>
  </si>
  <si>
    <t>2018-11-22 Pablo Iglesias: ¿Para qué sirve hoy la monarquía? Una nueva república será la mejor garantía para una España unida sobre la base del respeto y la libre decisión de sus pueblos y sus gentes</t>
  </si>
  <si>
    <t>❤️💛💜</t>
  </si>
  <si>
    <t>Te gustará más o menos @Pablo_Iglesias_ pero hay q reconocer q dice verdades como puños RT @Pablo_Iglesias_: El Gobierno del PP nacionalizó Bankia con el dinero de todos los españoles. ¿Qué sentido tiene privatizarla ahora que la hemos saneado? Lo sensato es que Bankia funcione como banca pública, al servicio de la ciudadanía. Así se lo he dicho a Pedro Sánchez en el Congreso 👇🏽</t>
  </si>
  <si>
    <t>https://twitter.com/Pablo_Iglesias_/status/1065182868538822656</t>
  </si>
  <si>
    <t>https://pbs.twimg.com/media/DshJpj6XQAAAkBh.jpg</t>
  </si>
  <si>
    <t>Libertad, igualdad, unidad, diversidad, autogobierno y gobierno compartido. En concreto: Federalismo plurinacional. Con tiempo, la utopía es realidad</t>
  </si>
  <si>
    <t>Andalucía/Málaga</t>
  </si>
  <si>
    <t>La realidad supera la ficción. Educadora Social</t>
  </si>
  <si>
    <t>EL00LEON</t>
  </si>
  <si>
    <t>camisa canguro</t>
  </si>
  <si>
    <t>Etiqueta a tu amigo más mariguano — @Pablo_Iglesias_</t>
  </si>
  <si>
    <t>Un país feminista? Dónde está tú denuncia contra la feminazi Dolerá por despedir a una compañera embarazada??? NO LA VEO 🤷🏻‍♀️ Te recuerdo que “tú “ Pablo Iglesias hace “chistes” con sus amigotes de azotar a una mujer hasta que sangre. De coherencia vas muy muy justita RT @SofCastanon: España es ya una democracia madura que no debe seguir teniendo una forma de Gobierno propia del siglo XIV y que nada tiene que ver con un país feminista. 📝 Pablo Iglesias ha escrito sobre ello en su artículo #ParaQuéSirveLaMonarquía:</t>
  </si>
  <si>
    <t>https://curiouscat.me/leninistfenix/post/713150918?t=1542828045</t>
  </si>
  <si>
    <t>https://twitter.com/sofcastanon/status/1065509203840782336
https://elpais.com/elpais/2018/11/21/opinion/1542806031_921444.html</t>
  </si>
  <si>
    <t>https://pbs.twimg.com/media/Dsly0JOWsAErjQb.jpg</t>
  </si>
  <si>
    <t>Los chistes de búnkeres no tienen mucha gracia la verdad los de piolets menos</t>
  </si>
  <si>
    <t>Jag.Valdezate</t>
  </si>
  <si>
    <t>$$ @Pablo_Iglesias_ La Policía descubre que la dictadura iraní ha dado 2 millones de euros a Iglesias y su entorno desde 2013  ¿Por qué? La respuesta es el dinero de Irán @Pablo_Iglesias_</t>
  </si>
  <si>
    <t>https://okdiario.com/investigacion/2016/01/12/policia-descubre-que-dictadura-irani-dado-2-millones-euros-iglesias-entorno-desde-2013-52289</t>
  </si>
  <si>
    <t>https://pbs.twimg.com/media/DsjKLBTXgAAvWnb.jpg</t>
  </si>
  <si>
    <t>peres toxo.</t>
  </si>
  <si>
    <t>Abro el tuiter y brindo por el viejo sueño: на здоро́вье! Cheers! Salut! Prost! ¡Por el viejo sueño! To the Old Dream! Toast den alten Traum! Тост давняя мечта!</t>
  </si>
  <si>
    <t>http://jagvaldezate.blogspot.com.es/</t>
  </si>
  <si>
    <t>Mtro. Liendre</t>
  </si>
  <si>
    <t>. @pablocasado_ @gabrielrufian @Albert_Rivera @Pablo_Iglesias_ @sanchezcastejon sois la vergüenza de nuestro país!</t>
  </si>
  <si>
    <t>Reino de Valencia. España</t>
  </si>
  <si>
    <t>Hay algo peor que un catalán independentista ? Sí, un valenciano catalanista.</t>
  </si>
  <si>
    <t>Cada maestrillo tiene su librillo, pero el mío está en blanco</t>
  </si>
  <si>
    <t>Ana Milan 🇪🇸</t>
  </si>
  <si>
    <t>Los socios de @Pablo_Iglesias_ RT @josepramonbosch: Este lamentable personaje que escupe al ministro Borrell, se lama Jordi Salvador Duch. Es el que señalaba a los policías en Salou. Es un cobarde</t>
  </si>
  <si>
    <t>Claudi Pérez</t>
  </si>
  <si>
    <t>https://twitter.com/josepramonbosch/status/1065264277123153920</t>
  </si>
  <si>
    <t>pic.twitter.com/sr0ko3wAS7</t>
  </si>
  <si>
    <t xml:space="preserve">Madrid </t>
  </si>
  <si>
    <t>El señorio se perdio una tarde que lo sacaron a pasear. #Mourinhista</t>
  </si>
  <si>
    <t>El País, Madrid. Views my own.</t>
  </si>
  <si>
    <t>http://elpais.com/autor/claudi_perez/a/</t>
  </si>
  <si>
    <t>FIONNA777</t>
  </si>
  <si>
    <t>¿Error?😂 ¿ independencia judicial en Andalucía? 😂😂😂🙏  @PSOE @PPopular @CiudadanosCs @PodemosCongreso @Alvisepf @susanadiaz @sanchezcastejon @pablocasado_ @Pablo_Iglesias_</t>
  </si>
  <si>
    <t>https://sevilla.abc.es/andalucia/sevi-anos-y-medio-investigacion-clave-pueden-anularse-fallo-juez-nunez-201811192337_noticia_amp.html?__twitter_impression=true</t>
  </si>
  <si>
    <t>https://pbs.twimg.com/media/DsjGAdMWwAANlV5.jpg</t>
  </si>
  <si>
    <t>Paco Luis</t>
  </si>
  <si>
    <t>Se imaginan a la derecha o a la izquierda Alemana o Italiana no condenando el separatismo... Pues Pedro Sánchez y Pablo Iglesias no sólo no lo hacen sino que son socios de gobierno de los independentistas. Incluso permiten escupan a sus Ministros</t>
  </si>
  <si>
    <t>abstenerse quienes señalan con el dedo, dando lecciones de ética y moral</t>
  </si>
  <si>
    <t>Humoristas</t>
  </si>
  <si>
    <t>COMO ESTÁ EL PAÍS...  @susanadiaz @JuanMa_Moreno @JuanMarin_Cs @TeresaRodr_ @pablocasado_ @Albert_Rivera @sanchezcastejon @Pablo_Iglesias_ @PSOE @psoedeandalucia @PPopular @ppandaluz @CiudadanosCs @Cs_Andalucia @ahorapodemos @Podemos_AND @vox_es</t>
  </si>
  <si>
    <t>Los políticos están por debajo de la media moral e intelectual de los ciudadanos, pero están al nivel de sus votantes</t>
  </si>
  <si>
    <t>https://youtu.be/GI65GdDbRyk</t>
  </si>
  <si>
    <t>Sitio web de LOS VIRUS aqui↙</t>
  </si>
  <si>
    <t>Duo de humoristas✌ @VictorLosVirus y @RubenRuizHumor ☺☺☺☺☺☺☺☺☺☺ Espectaculo☺PA HACEROS REIR☺ Contratacion☎670826886 Email:info@losvirusoficial.es</t>
  </si>
  <si>
    <t>http://www.losvirusoficial.es</t>
  </si>
  <si>
    <t>Tercera República</t>
  </si>
  <si>
    <t>Pablo Iglesias @Pablo_Iglesias_: "Ojalá el ministro o la ministra de interior que nombre el Partido Socialista retire la medalla a ese malnacido [Bily el Niño]...'  #RepúblicaLlegando ❤️💛💜</t>
  </si>
  <si>
    <t>pic.twitter.com/ANw85Q6Off</t>
  </si>
  <si>
    <t>La III República Española es la condición necesaria para tener un futuro en unión y dignidad. @PorLaIII y con @MiercolesRepubl ❤️💛💜</t>
  </si>
  <si>
    <t>Parias de la Tierra</t>
  </si>
  <si>
    <t>pic.twitter.com/YELRN8Oz1V</t>
  </si>
  <si>
    <t>También somos @Famelica_legion</t>
  </si>
  <si>
    <t>Si crees q la crisis d bankeros y especuladores tiene q pagarla los trabajadores con recortes n educación,sanidad y servicios sociales fuera d akí facha infame!</t>
  </si>
  <si>
    <t>http://paper.li/Famelica_legion/1339749984</t>
  </si>
  <si>
    <t>Miércoles Republicano❤️💛💜</t>
  </si>
  <si>
    <t>pic.twitter.com/tIFYwOHFCv</t>
  </si>
  <si>
    <t>Todos los miércoles, sin faltar ni uno, tuiteamos por la III República a partir de las 19.00 h (una hora menos en Canarias). ¡Únete, suma tu voz! ❤️💛💜</t>
  </si>
  <si>
    <t>https://www.youtube.com/channel/UCzxgc4H0oHpD_o05R7wmEAA/videos</t>
  </si>
  <si>
    <t>Miércoles Republicano en Navarra</t>
  </si>
  <si>
    <t>pic.twitter.com/ANWQH9ix08</t>
  </si>
  <si>
    <t>Todos los miércoles tuiteamos por la III República a partir de las 19.00 h (una hora menos en Canarias. Parte de @MiercolesRepubl ❤️💛💜</t>
  </si>
  <si>
    <t>Miércoles Republicano en Andalucía</t>
  </si>
  <si>
    <t>pic.twitter.com/QBNno6VJd9</t>
  </si>
  <si>
    <t>Sugarra</t>
  </si>
  <si>
    <t>PABLO IGLESIAS: "LA BANDERA TRICOLOR ES EL SÍMBOLO DE LOS PERDEDORES Y NO VOLVERÁ A RESURGIR"</t>
  </si>
  <si>
    <t>http://canarias-semanal.org/art/23954/pablo-iglesias-la-bandera-tricolor-es-el-simbolo-de-los-perdedores-y-no-volvera-a-resurgir</t>
  </si>
  <si>
    <t>Famélica legión 🔻🌍</t>
  </si>
  <si>
    <t>Euskal Herria</t>
  </si>
  <si>
    <t>Euskal Sozialismo Iraultzailearen aldeko SUGARRA</t>
  </si>
  <si>
    <t>http://sugarra.blogspot.com/</t>
  </si>
  <si>
    <t>pic.twitter.com/TGYZEArNFS</t>
  </si>
  <si>
    <t>¿Que los trabajadores deben pagar la crisis de banqueros y especuladores con recortes en educación, sanidad y servicios sociales? ¡FUERA DE AQUÍ FACHA INFAME! 😠</t>
  </si>
  <si>
    <t>sitting bull</t>
  </si>
  <si>
    <t>https://www.youtube.com/channel/UCzxgc4H0oHpD_o05R7wmEAA</t>
  </si>
  <si>
    <t>joder se ve que Pablo Iglesias en vez de regalarles a sus diputados la Constitucion les ha regalado a todos Juego de Tronos, y luego van de republicanos 🤡🤡🤡🤡 RT @NoSoyLaGente: Anonadado, sorprendido, abrumado, desconcertado estoy ahora mismo.</t>
  </si>
  <si>
    <t>https://twitter.com/NoSoyLaGente/status/1065334320955629570</t>
  </si>
  <si>
    <t>pic.twitter.com/tkGmJ8Sgk4</t>
  </si>
  <si>
    <t>Pablo Iglesias @pablo_iglesias_: «...nuestro país no se puede permitir tener condecorado a torturadores, nuestro país no se puede permitir más impunidad...»  #RepúblicaLlegando ❤️💛💜</t>
  </si>
  <si>
    <t>pic.twitter.com/k25NdxEoQp</t>
  </si>
  <si>
    <t>Rebel FedⒶikin</t>
  </si>
  <si>
    <t>Le ha dolido la hostia hasta a Pablo Iglesias Posse. RT @CNTBurgos: Tengan cuidado con las ofertas que vean en el #blackfriday #BlackFridaySinAmazon Además de sustentarse en la explotación de trabajadoras y la vulneración de derechos laborales, suelen ser productos o servicios mediocres o defectusos que no satisfarán sus auténticas necesidades.</t>
  </si>
  <si>
    <t>https://twitter.com/CNTBurgos/status/1065688384209895424</t>
  </si>
  <si>
    <t>https://pbs.twimg.com/media/DsoV7J1XcAEV-hd.jpg</t>
  </si>
  <si>
    <t>pic.twitter.com/LiIWcbE1ow</t>
  </si>
  <si>
    <t>Biblioteca de Trantor</t>
  </si>
  <si>
    <t>Ciudadano de mal. Solo el pueblo salva al pueblo.</t>
  </si>
  <si>
    <t>pic.twitter.com/n5U6V9VdAn</t>
  </si>
  <si>
    <t>pic.twitter.com/FrSTdj7WOd</t>
  </si>
  <si>
    <t>Begoña Sevilla</t>
  </si>
  <si>
    <t>En @elconfidencial: Venezuela pagó 7 millones a Iglesias, Monedero y Verstrynge para extender el bolivarismo en</t>
  </si>
  <si>
    <t>https://www.elconfidencial.com/espana/2016-04-04/financiacion-ilegal-podemos-venezuela-pago-millones-pablo-iglesias-juan-carlos-monedero-jorge-vestrynge_1178845/?utm_source=twitter&amp;utm_medium=social&amp;utm_campaign=BotoneraWeb</t>
  </si>
  <si>
    <t>Irlanda del Norte, Reino Unido</t>
  </si>
  <si>
    <t>pic.twitter.com/km5TOObUUN</t>
  </si>
  <si>
    <t>Alejandro Ruiz</t>
  </si>
  <si>
    <t>¿Para que sirve Pablo Iglesias y la jentuza de Podemos? Basura de esta es la que sobra en este país. RT @hermanntertsch: ElPaís, ya alineado con el Frente Popular y la voladura de la Constitución, publica una arremetida de Pablo Iglesias contra la monarquía. Titula¿Para qué sirve hoy la monarquía? La monarquía sirve para evitar que sea necesaria una guerra para impedir la dictadura que él pretende.</t>
  </si>
  <si>
    <t>pic.twitter.com/yWk4lv8RFA</t>
  </si>
  <si>
    <t>En la cincuentena, Técnico en Sistemas de Información geografica, amante de la literatura y todo lo relacionado con las humanidades.</t>
  </si>
  <si>
    <t>Domingo Rojas Pereyra</t>
  </si>
  <si>
    <t>Jose R. Molina</t>
  </si>
  <si>
    <t>“Prefiero gestionar las contradicciones de la #victoria, a escribir novelas sobre nuestra hermosa #derrota.” Pablo Iglesias.</t>
  </si>
  <si>
    <t>EN DEFENSA DE LAS TRADICIONES ESPAÑOLAS, ADELANTE ESPAÑOLES AL CUADRADO, ANDALUCIA POR ESPAÑA @Pablo_Iglesias_ @ierrejon @pablocasado_ @vox_es @VOXSevilla @vox_malaga @VOX_Jaen @VoxCordoba @Santi_ABASCAL #LaCazaTambienVota #VOXGanaAndalucia #EleccionesAndaluzas RT @Jarama62: 🔴VOX no se olvida del colectivo de los cazadores, porque #LaCazaTambiénVota #AndalucíaPorEspaña #FelizMiercoles</t>
  </si>
  <si>
    <t>https://twitter.com/jarama62/status/1065290235091783680</t>
  </si>
  <si>
    <t>https://pbs.twimg.com/media/Dsirx1-XoAApFTJ.jpg</t>
  </si>
  <si>
    <t>Oficina: 809 687-6857</t>
  </si>
  <si>
    <t>#Abogado-Notario | Attorney-Notary l MA en Diplomacia I Activista DDHH I Presidente de @CadolecRD I Articulista de @Almomentonet I Locutor l Libre pensador.#TFB</t>
  </si>
  <si>
    <t>http://www.rnplegal.com</t>
  </si>
  <si>
    <t>Doctor en Historia de la Educación UNED Licenciado en Ciencias de la Educación, Grado filología inglesa e hispánica, Historia del Arte y Magisterio</t>
  </si>
  <si>
    <t>Marc Fogg</t>
  </si>
  <si>
    <t>Más comentados ahora en Izquierda/Centro Izqda.: ➀ @PPopular ↑ ➁ @gabrielrufian ↓ ➂ @JaumeAlonsoCuev ↓ ➃ @jonathanmartinz ↓ ➄ @sanchezcastejon ↓ ➅ @iescolar ↑↑ ➆ @ander_errasti ↑ ➇ @Pablo_Iglesias_ ↓ ➈ @TigrilloTW ↓</t>
  </si>
  <si>
    <t>es la idea de que algo no termina • Comunicación • Actualidad Política</t>
  </si>
  <si>
    <t>Más influyentes ahora en Izquierda/Centro Izqda.: ➀ @JaumeAlonsoCuev ↓ ➁ @jonathanmartinz ↓ ➂ @iescolar ↑↑ ➃ @ander_errasti ↑ ➄ @TigrilloTW ↓ ➅ @Yo_Soy_Asin ↓ ➆ @martuniki ↓ ➇ @RubenSanchezTW ↓ ➈ @Pablo_Iglesias_ ↓</t>
  </si>
  <si>
    <t>Manuel Pérez Hermida</t>
  </si>
  <si>
    <t>“Prefiero gestionar las contradicciones de la victoria, a escribir novelas sobre nuestra hermosa derrota.” Pablo Iglesias, líder de @ahorapodemos</t>
  </si>
  <si>
    <t>#Nacionalista, Patriota. Defensor del noble y sufrido Pueblo Dominicano. Dios, Patria y Libertad. #TFB</t>
  </si>
  <si>
    <t>David Pino</t>
  </si>
  <si>
    <t>Pablo Iglesias: "La memoria histórica es la gasolina del futuro"</t>
  </si>
  <si>
    <t>El aplauso q @gabrielrufian le ha dedicado a @Pablo_Iglesias_ y los suyos mientras abandonada el Congreso, bajando por las escaleras, tiene mucho significado, retrata a la nueva izquierda 🤦🏾‍♀️. RT @jmangues: Això del Congrés dels Diputats és esperpèntic. Rufián fa una intervenció on acusa a Borrell de ser el que és, un hooligan militant de Societat Civil Catalana i un ministre de vergonya. I ha acabat expulsat de l'hemicicle i els animadors del PSOE tots aplaudint. Quin circ.</t>
  </si>
  <si>
    <t>https://www.youtube.com/watch?v=kFH5l3IF8sk</t>
  </si>
  <si>
    <t>https://twitter.com/jmangues/status/1065167371856424960</t>
  </si>
  <si>
    <t>pic.twitter.com/McMJL49vkY</t>
  </si>
  <si>
    <t>San Sebastian de los Reyes</t>
  </si>
  <si>
    <t>Padre friki, lo demás es menos importante. @sisepuedesanse @penultima_ @cx1rblog</t>
  </si>
  <si>
    <t>http://www.comerporunrinon.es</t>
  </si>
  <si>
    <t>Pamplona, España</t>
  </si>
  <si>
    <t>Andaluza viviendo en Pamplona, creo en los animales y en unas pocas personas.</t>
  </si>
  <si>
    <t>Pitágora de Samos</t>
  </si>
  <si>
    <t>Justo después de que el Rey haya reivindicado su papel y el de la institución con una contribución EXTRAORDINARIA para frenar el golpe separatista sale Pablo Iglesias a explicarnos que lo que verdad une es la república. Se te ve el plumero un huevo, chato.</t>
  </si>
  <si>
    <t>https://www.libertaddigital.com/espana/2018-11-22/iglesias-utiliza-el-pais-para-atacar-a-la-monarquia-una-nueva-republica-sera-la-mejor-garantia-para-una-espana-unida-1276628644/</t>
  </si>
  <si>
    <t>Los cojones. Las elige @Pablo_Iglesias_ elaborando las listas. RT @pnique: El Rey se elige por fecundación. El presidente del CGPJ a dedo por PP y PSOE. Las personas candidatas de PODEMOS a las elecciones europeas, autonómicas, forales, insulares y municipales las eliges tú VOTANDO. Entra en , #VotaTuLista2019 📩 y difunde 📲</t>
  </si>
  <si>
    <t>World</t>
  </si>
  <si>
    <t>Pitágoras de Samos fue matemático, filósofo. El teorema de Pitágoras, llamado así por Euclides, ya era conocido con mucha anterioridad a Pitágoras.</t>
  </si>
  <si>
    <t>https://twitter.com/pnique/status/1065291774724374528
https://participa.podemos.info/</t>
  </si>
  <si>
    <t>https://pbs.twimg.com/media/DsitL6TXgAEq7nK.jpg</t>
  </si>
  <si>
    <t>Tercio Hispánico. #LibertadPolíticaColectiva</t>
  </si>
  <si>
    <t>Munarri</t>
  </si>
  <si>
    <t>Símbolo de "perdedores". ⁦@Pablo_Iglesias_⁩ , los de "abajo".</t>
  </si>
  <si>
    <t>La Cruz de Borgoña ha sido incluida en escudos de armas y en banderas de España desde 1506. Como símbolo vexilológico, ha sido el más utilizado hasta 1785.</t>
  </si>
  <si>
    <t>https://kaosenlared.net/pablo-iglesiasla-bandera-tricolor-es-el-simbolo-de-los-perdedores-y-no-volvera-a-resurgir/</t>
  </si>
  <si>
    <t>Arquímedes de Siracusa.</t>
  </si>
  <si>
    <t>Dr. Verdad</t>
  </si>
  <si>
    <t>Qué se enteren @PSOE @sanchezcastejon @PPopular @pablocasado_ @CiudadanosCs @Albert_Rivera @ahorapodemos @Pablo_Iglesias_ RT @mlalanda: Huelga de AP en cataluña, huelga de AP en Andalucía, huelga de MIR Urgencias en 12 de Octubre....que estemos divididos en CCAA no significa que uno no pueda echar un vistazo general y darse cuenta que la-mejor-sanidad-del-mundo-mundial anda muy muy jodida.</t>
  </si>
  <si>
    <t>Planeta Tierra</t>
  </si>
  <si>
    <t>Soy físico, ingeniero, inventor, astrónomo y matemático. Se conocen pocos detalles de mi vida, pero estoy considerado uno de los científicos más importantes.</t>
  </si>
  <si>
    <t>https://twitter.com/mlalanda/status/1065167563305431041</t>
  </si>
  <si>
    <t>En Twitter por mi mala cabeza</t>
  </si>
  <si>
    <t>Mi propósito para lo que queda de 2018 en Twitter es que @Pablo_Iglesias_ me bloqueé... Empezamos...</t>
  </si>
  <si>
    <t>P B Marbe-Malaga</t>
  </si>
  <si>
    <t>Torremolinos, España</t>
  </si>
  <si>
    <t>Me gusta montar en bicicleta con mi gorrito. La vida es bonita si se es libre</t>
  </si>
  <si>
    <t>Marco Fagnano</t>
  </si>
  <si>
    <t>Qué opinará de todo esto @ierrejon @Pablo_Iglesias_ y el resto de fans del chavismo? RT @bonypertinezh: En este momento un grupo armado del Sebin se acaba de llevar a mi esposo de nuestra casa, donde cumple arresto domiciliario, sin autorización judicial. Supuestamente al Sebin de Plaza Venezuela</t>
  </si>
  <si>
    <t>https://twitter.com/bonypertinezh/status/1065201931499577352</t>
  </si>
  <si>
    <t>pic.twitter.com/y67bUt0QUa</t>
  </si>
  <si>
    <t>https://informalia.eleconomista.es/informalia/actualidad/noticias/9536886/11/18/Pablo-Iglesias-propone-una-boda-roja-soft-para-la-monarquia-y-reivindica-la-republica.html</t>
  </si>
  <si>
    <t>https://pbs.twimg.com/media/DsoR1qiWwAUifzu.jpg</t>
  </si>
  <si>
    <t>jose luis uriz iglesias</t>
  </si>
  <si>
    <t>Ayer en mi memoria Franco, hoy Ernest Lluch 18 años después.Y las palabras de Gemma Nierga "ustedes que pueden dialoguen"  @Pablo_Iglesias_ @pnique @ierrejon @MonederoJC</t>
  </si>
  <si>
    <t>http://joseluisuriz.blogspot.com/2018/11/franco-lluch-un-ano-mas.html</t>
  </si>
  <si>
    <t>Villava Navarra</t>
  </si>
  <si>
    <t>Expulsado PSOE por intentar la paz, creer en el diálogo el entendimiento entre diferentes y defender los principios básicos de izquierda.Ahora milito en PSC</t>
  </si>
  <si>
    <t>http://joseluisuriz.blogspot.com.es/</t>
  </si>
  <si>
    <t>Galician Patty 🐙</t>
  </si>
  <si>
    <t>*Tú = @pablo_iglesias_ / *Votando = a dedo RT @pnique: El Rey se elige por fecundación. El presidente del CGPJ a dedo por PP y PSOE. Las personas candidatas de PODEMOS a las elecciones europeas, autonómicas, forales, insulares y municipales las eliges tú VOTANDO. Entra en , #VotaTuLista2019 📩 y difunde 📲</t>
  </si>
  <si>
    <t>Diego Jaramillo</t>
  </si>
  <si>
    <t>Tribuna | ¿Para qué sirve hoy la monarquía en España?; por Pablo Iglesias  via @el_pais</t>
  </si>
  <si>
    <t>Santa Cruz, Bolivia</t>
  </si>
  <si>
    <t>Periodista multimedia en @diarioeldeber #Bolivia @CursoIberis /#Balboa 2014 PremioBISA de #PeriodismoDigital 2015. Tuiteo a título personal</t>
  </si>
  <si>
    <t>http://www.eldeber.com.bo/</t>
  </si>
  <si>
    <t>Inquilina de la soledad. Eterna aprendiz. Steampunk debutante. Nostalgist. Multilocal. Tentacular. 🇪🇸🇻🇪</t>
  </si>
  <si>
    <t>http://www.manosinkietas.com</t>
  </si>
  <si>
    <t>Iñigo Ortiz deGuzmán</t>
  </si>
  <si>
    <t>Marcos de Quinto</t>
  </si>
  <si>
    <t>Apruebo la moción de @Pablo_Iglesias_ : que Bankia funcione como banca pública y que sustituya a Goiri por @pnique. Anticipo que los depósitos saldrán volando hacia @bancosantander o @bbva. Como diría la ministra de justicia “éxito seguro!!” 😊 RT @Pablo_Iglesias_: El Gobierno del PP nacionalizó Bankia con el dinero de todos los españoles. ¿Qué sentido tiene privatizarla ahora que la hemos saneado? Lo sensato es que Bankia funcione como banca pública, al servicio de la ciudadanía. Así se lo he dicho a Pedro Sánchez en el Congreso 👇🏽</t>
  </si>
  <si>
    <t>Barcelona &amp; World</t>
  </si>
  <si>
    <t>Periodista, editor y realizador freelance Freelance producer, editor and journalist</t>
  </si>
  <si>
    <t>http://inigoortizdeguzmanplus.wordpress.com/</t>
  </si>
  <si>
    <t>Lisbon 🇵🇹 - New York 🇺🇸</t>
  </si>
  <si>
    <t>ANTES: Pirata. Navego sin bandera. No pretendo convencerte de nada, acaso hacerte dudar de lo que crees. AHORA: Ya no. Tomo bandera 🇪🇸por responsabilidad</t>
  </si>
  <si>
    <t>Juan C</t>
  </si>
  <si>
    <t>Por cierto @Pablo_Iglesias_ @pnique ¿q tal si dejáis a @ManuelaCarmena q elabore sus equipo y continúe con la labor q esta haciendo en @MADRID sin q tratéis de meter con calzador a @Julio_Rodr_? #votatulista2019</t>
  </si>
  <si>
    <t>https://pbs.twimg.com/media/DsivDIsWsAAe6Ae.jpg</t>
  </si>
  <si>
    <t>Hola @Pablo_Iglesias_ @pnique ¿cuantos inscritos van a #votatulista2019 ?¿Un 2%?¿Un 10%?¿ Y esa cantidad(x supuesto afines a vosotros)van a decidir las listas por 5 millones q votamos @ahorapodemos en las generales o en la ultimas autonómicas y municipales?Q falta de democracia!!</t>
  </si>
  <si>
    <t>https://pbs.twimg.com/media/DsitupmWkAUXMes.jpg</t>
  </si>
  <si>
    <t>Canalla 👇🏿 Hermann Tertsch cree que la monarquía sirve "para evitar que sea necesaria una guerra para impedir una dictadura de Pablo Iglesias"</t>
  </si>
  <si>
    <t>Roque López</t>
  </si>
  <si>
    <t>1/2 Estando excepcionalmente de acuerdo con la postura del grupo de .@Pablo_Iglesias_ en referencia a su oposición a la aprobación de la ley que permite a los partidos elaborar perfiles ideológicos y enviar spam electoral, habría que preguntar a</t>
  </si>
  <si>
    <t>https://m.eldiario.es/_31f569b9</t>
  </si>
  <si>
    <t>nierere</t>
  </si>
  <si>
    <t>lo dije hace bastante tiempo. esto iba a terminar en reinos taifa. lo gracioso es ver a los que criticaban a pablo iglesias por crear un partido personalista callados con todo el devenir de los acontecimientos xD RT @crendueles: Manuela Carmena presenta un Airbnb muncipalista. La "plataforma" (¿en serio?) Más Madrid:</t>
  </si>
  <si>
    <t>Libertad, Vida y Propiedad. Argumentos contra el estatismo y el neocomunismo. Libre Mercado. Patriotismo. Imperio de la Ley. Republicano libertario conservador.</t>
  </si>
  <si>
    <t>https://twitter.com/crendueles/status/1065544740609949696
https://www.huffingtonpost.es/pilar-portero-y-ana-canil/mas-madrid-la-nueva-plataforma-de-carmena_a_23596684/?ncid=other_twitter_cooo9wqtham&amp;utm_campaign=share_twitter</t>
  </si>
  <si>
    <t>Un telequito sevillano</t>
  </si>
  <si>
    <t>Sir Patrick OConnell</t>
  </si>
  <si>
    <t>@guardian Me ha tocado @Pablo_Iglesias_ 😊</t>
  </si>
  <si>
    <t>Rosita Marrero</t>
  </si>
  <si>
    <t>🇮🇪🇮🇪🇮🇪 XXIV 💕</t>
  </si>
  <si>
    <t>https://www.instagram.com/eternodiecisiete/</t>
  </si>
  <si>
    <t>San Juan, Puerto Rico</t>
  </si>
  <si>
    <t>Periodista Puerto Rico Autora</t>
  </si>
  <si>
    <t>Más comentados ahora en Izquierda/Centro Izqda.: ➀ @PPopular ↓ ➁ @gabrielrufian ↑ ➂ @jonathanmartinz ↓ ➃ @protestona1 ↓ ➄ @Pablo_Iglesias_ ↑ ➅ @TigrilloTW ↑ ➆ @sanchezcastejon ↓ ➇ @ccarnicero ↑ ➈ @PSOE ↓</t>
  </si>
  <si>
    <t>Gaby Trejo del Angel</t>
  </si>
  <si>
    <t>Similar Emmanuel Macrom menos similar Pablo Iglesias 👍🏻 RT @CarlosLoret: ¿Qué tan populista eres? ⬇️</t>
  </si>
  <si>
    <t>https://twitter.com/CarlosLoret/status/1065631465029947393
https://www.theguardian.com/world/ng-interactive/2018/nov/21/how-populist-are-you-quiz</t>
  </si>
  <si>
    <t>Más influyentes ahora en Izquierda/Centro Izqda.: ➀ @jonathanmartinz ↓ ➁ @protestona1 ↓ ➂ @TigrilloTW ↑ ➃ @Pablo_Iglesias_ ↑ ➄ @ccarnicero ↑ ➅ @Yo_Soy_Asin ↑ ➆ @ander_errasti ↓ ➇ @martuniki ↑ ➈ @BeatrizTalegon ↑</t>
  </si>
  <si>
    <t>Violenta</t>
  </si>
  <si>
    <t>Para qué sirve Pablo Iglesias, Echenique, Monedero, la Colau y la monja cojonera? Para abastecerse así mismos como si fueran reyes, y hacernos la vida imposible a los demás friendonos a Impuestos, xq no saben crear otra cosa</t>
  </si>
  <si>
    <t>España unida, jamás será vencida!🇪🇸🇪🇸🇪🇸</t>
  </si>
  <si>
    <t>Octava denuncia fiscalía Madrid 6 UE Una UE de medio ambiente una SEPRONA una guardia civil la justicia es igual para todos? @iescolar @Pablo_Iglesias_ @eldiarioes @ahorapodemos @pnique @PSOE @ONU_es @parlamenteando @Europarl_ES @Canal_Diputados@ElMundoGM @el_pais @FeijooGalicia</t>
  </si>
  <si>
    <t>gmiasg</t>
  </si>
  <si>
    <t>El País se esconde en un artículo de Pablo Iglesias para masacrar a Felipe VI y hacerle un guiño a los golpistas</t>
  </si>
  <si>
    <t>pic.twitter.com/q9Ev3tjmR9</t>
  </si>
  <si>
    <t>insurgente.org</t>
  </si>
  <si>
    <t>Eduardo Uribe</t>
  </si>
  <si>
    <t>Sr. @Pablo_Iglesias_, Vd. q exije tanto ejemplo, imagino q estará a punto de expulsar de @Podemos_CANT a sus 3 diputados regionales, que se han ausentado del asunto más importante del año para poder apuñalarse entre ellos más cómodamente. NO NOS REPRESENTAIS. Devolved la nómina.</t>
  </si>
  <si>
    <t>Pablo Iglesias publica en El País, el diario “independiente” de la mañana . insurgente_org</t>
  </si>
  <si>
    <t>https://pbs.twimg.com/media/DsinemNW0AEpCGe.jpg</t>
  </si>
  <si>
    <t>Teleco. Socio n.º 625 @realracingclub. También tecnología y móviles. Telecom engineer. Interested in all kind of technology and science. (SPAIN)</t>
  </si>
  <si>
    <t>https://ift.tt/2FLwTyq</t>
  </si>
  <si>
    <t>https://pbs.twimg.com/media/DsoNgtAWoAA-yIh.jpg</t>
  </si>
  <si>
    <t>HispaniaFortius</t>
  </si>
  <si>
    <t>Es abochornante que el #Gobierno de @sanchezcastejon y sus socios de #Podemos no quiera llevar a #Maduro a la Corte Penal Internacional para acabar con la dictadura sanguinaria⤵️😡 @PSOE @ahorapodemos @MonederJC @pnique @ierrejon @Pablo_Iglesias_ #DDHH RT @jesusmedinae: (Video) La GNB tortura con "sadismo" intentando penetrarle el trasero con una cabilla a un hombre más la paliza que le dan, muestras de violaciones a los DDHH en Venezuela.</t>
  </si>
  <si>
    <t>http://insurgente.org</t>
  </si>
  <si>
    <t>Círculo El Escorial</t>
  </si>
  <si>
    <t>En pleno siglo XXI queremos elegir a quienes nos representan y entonces ¿#ParaQuéSirveLaMonarquía? 👉Interesante artículo de Pablo Iglesias</t>
  </si>
  <si>
    <t>Pucela</t>
  </si>
  <si>
    <t>Orgulloso de ser ESPAÑOL y Castellano.Liberal https://hispaniafortius.wordpress.com https://gab.ai/HispaniaFortius</t>
  </si>
  <si>
    <t>https://twitter.com/HispaniaFortius</t>
  </si>
  <si>
    <t>Si @ahorapodemos surgió del 15M y el 15M teníamos claro que las instituciones y su amañamiento y corrupción eran el principal freno del CAMBIO ¿Por qué ahora @Pablo_Iglesias_ hemos caido en lo de "haremos lo que podamos desde las instituciones"? Pronto nos hemos contaminado.</t>
  </si>
  <si>
    <t>El Escorial, Madrid, España</t>
  </si>
  <si>
    <t>El día 8 de enero de 2016, 22 ciudadanas y ciudadanos de El Escorial, procedentes de los Círculos Podemos anteriores, decidimos fundar este Círculo de unión.</t>
  </si>
  <si>
    <t>https://circulopodemoselescorial.blogspot.com</t>
  </si>
  <si>
    <t>amparameque</t>
  </si>
  <si>
    <t>El País se esconde en un artículo de Pablo Iglesias para masacrar a Felipe VI y hacerle un guiño a los golpistas.... Solución: no comprar el panfleto...  vía @Periodistadigit</t>
  </si>
  <si>
    <t>Por una Banca Pública ! Yo voto: Sí. @Pablo_Iglesias_ @ahorapodemos</t>
  </si>
  <si>
    <t>El derecho y el deber, son como palmeras: no dan fruto si no crecen uno al lado del otro.</t>
  </si>
  <si>
    <t>Emilio F</t>
  </si>
  <si>
    <t>Para que sirve Pablo Iglesias..y sus secuaces?? RT @ldpsincomplejos: Veo que Pablo Iglesias ha escrito un artículo preguntándose "¿Para qué sirve hoy la Monarquía?". Yo me pregunto otra cosa: ¿para qué sirve hoy Pablo Iglesias? Una vez conducido el 15M a la nada, ya has logrado los objetivos de quienes te lanzaron, Pablo. ¿Por qué sigues murgando?</t>
  </si>
  <si>
    <t>M DOLORES DOMINGUEZ</t>
  </si>
  <si>
    <t>Sr. @Pablo_Iglesias_ interviniendo en el Congreso sobre Bankia...</t>
  </si>
  <si>
    <t>Orgulloso de ser Catalán y Español o Español y Catalán me da igual, me gusta mi Pais, España.</t>
  </si>
  <si>
    <t>Sean capaces siempre de sentir, en lo más hondo, cualquier injusticia realizada contra cualquiera, en cualquier parte del mundo.</t>
  </si>
  <si>
    <t>Soto del Real Podemos</t>
  </si>
  <si>
    <t>#ParaQuéSirveLaMonarquía ¿Para qué sirve hoy la monarquía? Una nueva república será la mejor garantía para una España unida. Aqui el artículo de Pablo Iglesias “Para qué sirve hoy la monarquía”</t>
  </si>
  <si>
    <t>decimocuarta</t>
  </si>
  <si>
    <t>http://goo.gl/A44qyL</t>
  </si>
  <si>
    <t>Esto para @ierrejon , @Pablo_Iglesias_ y el presidente de Bildu @sanchezcastejon es democracia , putos miserables RT @hermanntertsch: Aquí ciertos conceptos de orden público que comparten los comunistas de Podemos con sus benefactores chavistas. Podrían ser Nicaragua o Cuba, pero estas imágenes son Venezuela. Recuérdenlas bien. Y cuando las vean en España con el Frente Popular no digan que no podían imaginarlo.</t>
  </si>
  <si>
    <t>https://pbs.twimg.com/media/DsoL47YU4AAHPi4.jpg</t>
  </si>
  <si>
    <t>Soto del Real</t>
  </si>
  <si>
    <t>Círculo Podemos en Soto del Real</t>
  </si>
  <si>
    <t>http://www.sotodelrealpodemos.es/</t>
  </si>
  <si>
    <t>Santiago de Compostela, Galici</t>
  </si>
  <si>
    <t>Alfonso Valle Castro</t>
  </si>
  <si>
    <t>Más comentados ahora en Izquierda/Centro Izqda.: ➀ @PPopular ➁ @gabrielrufian ↑ ➂ @jonathanmartinz ↑ ➃ @PSOE ↑ ➄ @sanchezcastejon ↑ ➅ @JosepBorrellF ↑ ➆ @TigrilloTW ↑ ➇ @Pablo_Iglesias_ ↑ ➈ @protestona1 ↑</t>
  </si>
  <si>
    <t>España, está dominada y dirigida, por fascistas y por corruptos; expertos en todo tipo de saqueos; en amordazar al pueblo y en precarizar a las clases populares</t>
  </si>
  <si>
    <t>📺Este viernes vuelve @Pablo_Iglesias_ con @tuerka_ovt. 📺 No os podéis perder la entrevista a la periodista y escritora Cristina Fallarás (@LaFallaras) el día 23 de noviembre a las 18:00 h. Aquí va un adelanto: 👇👇</t>
  </si>
  <si>
    <t>https://pbs.twimg.com/media/DsidBZBUUAAP5zC.jpg</t>
  </si>
  <si>
    <t>Teseo contra Procusto</t>
  </si>
  <si>
    <t>Obsérvese la última frase. Este era el "democrata" Pablo Iglesias, fundador del PSOE. RT @dquerog: Señora presidenta @anapastorjulian usted no tiene derecho a quitar NADA del diario de sesiones del Congreso. Si eso lo hubiera hecho Romanones el 7 de julio de 1910 no tendríamos constancia de esta amenaza de Pablo Iglesias al presidente Maura #eldiariodesesionesnosetoca</t>
  </si>
  <si>
    <t>Más influyentes ahora en Izquierda/Centro Izqda.: ➀ @jonathanmartinz ↑ ➁ @TigrilloTW ↑ ➂ @ccarnicero ↓ ➃ @protestona1 ↑ ➄ @ander_errasti ↓ ➅ @RubenSanchezTW ↑ ➆ @Pablo_Iglesias_ ↑ ➇ @Yo_Soy_Asin ↓ ➈ @iescolar ↓</t>
  </si>
  <si>
    <t>https://twitter.com/dquerog/status/1065353008257609729</t>
  </si>
  <si>
    <t>https://pbs.twimg.com/media/Dsjk4rLXoAAhPfB.jpg</t>
  </si>
  <si>
    <t>Contra los Procustos de hoy, aquellos que hacen lo posible por impedir que sobresalga quien tenga más talento o aporte un esfuerzo mayor que el resto.</t>
  </si>
  <si>
    <t>Patxi de Elubarri</t>
  </si>
  <si>
    <t>Yo sinceramente estoy perdido, en este fregado y en principio también estaba Podemos? Por favor, sinceramente, alguien me lo puede aclarar, es que no me lo puedo creer, no puedo creer y al ver el personaje , Podemos no abandonará la negociación de inmediato. @Pablo_Iglesias_ RT @ramoncotarelo: Gran artículo, imprescindible para entender la pocilga en que se ha convertido la cúpula del poder judicial en España bajo la banda de ladrones y con el beneplácito, según parece, del PSOE :</t>
  </si>
  <si>
    <t>https://twitter.com/ramoncotarelo/status/1065028689279229952
https://www.publico.es/politica/judicial-tela-juicio-marchena-juez-denunciado-anos-afinidad-parcialidad-favor-pp.html</t>
  </si>
  <si>
    <t>Lo mejor de este invento, la buena gente a la que sigo. Salud y Republica</t>
  </si>
  <si>
    <t>MvidalM</t>
  </si>
  <si>
    <t>Algo q decir @Pablo_Iglesias_ , O¿ A ti la corrupción solo te interesa cuando va acompaña de un Whatsapp?. #PsoePodemos #Menudatropa RT @Mariagtriana: La juez Núñez archiva una causa de los ERE sin pedirlo el abogado de uno de los investigados  vía @abcdesevilla.➡️ Continuamos con La Juez Núñez Bolaños , qué debería estar en su casa YA.Con ella NO hay manera,de qué toda La Corrupción vea la luz .INDIGNO⬇️</t>
  </si>
  <si>
    <t>https://twitter.com/Mariagtriana/status/1065181461819592704
https://sevilla.abc.es/andalucia/sevi-juez-nunez-archiva-causa-sin-pedirlo-abogado-investigados-201811201405_noticia.html#ns_campaign=amp-rrss-inducido&amp;ns_mchannel=abcdesevilla-es&amp;ns_source=tw&amp;ns_linkname=noticia.foto&amp;ns_fee=0</t>
  </si>
  <si>
    <t>El mejor lugar del mundo.</t>
  </si>
  <si>
    <t>Estoy entre “Necesitas ahorrar dinero” y “Solo se vive una vez”.</t>
  </si>
  <si>
    <t>Carta de Pablo Iglesias a la gente que quiere, en donde muestra su cursilería hacia lo bello ☑️ LibertadPolíticaColectiva, 🔗 Meneo de menear,</t>
  </si>
  <si>
    <t>https://goo.gl/yQSCt7?hzr18=1375971948</t>
  </si>
  <si>
    <t>Más influyentes ahora en Izquierda/Centro Izqda.: ➀ @jonathanmartinz ↑↑↑ ➁ @TigrilloTW ↓ ➂ @ccarnicero ↑ ➃ @ander_errasti ↑ ➄ @Yo_Soy_Asin ↓ ➅ @iescolar ↑ ➆ @boye_g ↑ ➇ @Pablo_Iglesias_ ↓ ➈ @RubenSanchezTW ↓↓</t>
  </si>
  <si>
    <t>Tony73</t>
  </si>
  <si>
    <t>A qué república se refiere Pablo Iglesias? Porque, claro, no sabemos si es a Alemania, Francia, Estados Unidos o más bien a Cuba, Venezuela Corea del Norte o la República Popular China. La diferencia entre ambos grupos es el respeto a la libertad, propiedad privada y a la Vida. RT @libertaddigital: Iglesias utiliza 'El País' para atacar a la monarquía: "Una nueva república será la mejor garantía para una España unida"</t>
  </si>
  <si>
    <t>Madridista, independiente y pensador libre, de Mourinho. Rock and roll y blues. No soy más madridista que nadie,pero nadie es más madridista que yo. Pucelano.</t>
  </si>
  <si>
    <t>https://youtu.be/D85td0caXyE</t>
  </si>
  <si>
    <t>Cuando dicen mis amigos, Patxi, que te ha pasado, parece ya no apoyas a Podemos, pues si no los apoyo, ni les perdono haber puesto en el Gobiernos a gente indigna como Borrell. Os queda claro? convivi con estos Judas, PSOE muchos, muchos años, se acabó la fiesta. @Pablo_Iglesias_ RT @antoniobanos_: Ánimo Gabriel @gabrielrufian y ánimos al grupo parlamentario de ERC. Fuera caretas con ese tipo y los ultras que representa</t>
  </si>
  <si>
    <t>https://twitter.com/antoniobanos_/status/1065178684502536192</t>
  </si>
  <si>
    <t>@MONTENEGRODORA</t>
  </si>
  <si>
    <t>¡Revelación!: George Soros tiene bajo control a 226 políticos de Europa, entre ellos los españoles Pablo Iglesias, Javier Couso, Elena Valenciano, Javier Nart, diputados del PP y otros</t>
  </si>
  <si>
    <t>https://berlinconfidencial.com/2017/11/06/revelacion-george-soros-tiene-bajo-control-a-225-politicos-de-europa-entre-ellos-los-espanoles-pablo-iglesias-javier-couso-elena-valenciano-javier-nart-diputados-del-pp-y-otros/?fbclid=IwAR2MiEd6M3BvMocv2V-rao1_lygc8AF4V4ObMBB4RLvH177HkzhGsN6vAiE</t>
  </si>
  <si>
    <t>ARGENTINA</t>
  </si>
  <si>
    <t>¡¡¡¡Soy fuerte porque fui débil y estoy en guardia porque fui traicionada me río porque estuve triste y vivo el día porque mañana no es seguro para mí !!!!</t>
  </si>
  <si>
    <t>https://twitter.com</t>
  </si>
  <si>
    <t>EL ANALISTA</t>
  </si>
  <si>
    <t>Esperando estoy el reproche o condena que harán los Sres. @Pablo_Iglesias_ @pnique o @ierrejon a la que ha formado hoy Rufián y su grupo en el Parlamento. Ya verán la dureza de sus declaraciones 🤦‍♂️</t>
  </si>
  <si>
    <t>Andrés</t>
  </si>
  <si>
    <t>En Podemos decides tú!! (Siempre que coincida con lo que decida Pablo Iglesias) RT @pnique: Hasta el domingo 25 a las 23:59 puedes elegir a l@s candidat@s de @ahorapodemos para las elecciones europeas, autonómicas, forales, insulares y municipales (primera tanda). Entra en , vota 📩 y difunde 📲 En PODEMOS, decides tú. 💪</t>
  </si>
  <si>
    <t>https://twitter.com/pnique/status/1065672805180760064
https://participa.podemos.info</t>
  </si>
  <si>
    <t>pic.twitter.com/LkvVsZCrNW</t>
  </si>
  <si>
    <t>UNIVERSITAS</t>
  </si>
  <si>
    <t>Pragmático, cansino, valencianista, melómano, fistro...</t>
  </si>
  <si>
    <t>Ron Swanson 🇦🇷🇺🇸🇬🇧🇪🇺 #FBPE</t>
  </si>
  <si>
    <t>Al menos soy la antítesis de Pablo Iglesias</t>
  </si>
  <si>
    <t>https://pbs.twimg.com/media/DsoJvtKXcAEu7o4.jpg</t>
  </si>
  <si>
    <t>“Then it appeared the real maker of wealth, the greatest worker, the highest type of human being, the self-made man, the American Industrialist”</t>
  </si>
  <si>
    <t>https://pbs.twimg.com/media/DsiJwU-X4AAbeU3.png</t>
  </si>
  <si>
    <t>Que vergüenza que la comunidad internacional consienta esto. Y el cerdo de @Pablo_Iglesias_ defendiendo al régimen de Venezuela. RT @hermanntertsch: Aquí ciertos conceptos de orden público que comparten los comunistas de Podemos con sus benefactores chavistas. Podrían ser Nicaragua o Cuba, pero estas imágenes son Venezuela. Recuérdenlas bien. Y cuando las vean en España con el Frente Popular no digan que no podían imaginarlo.</t>
  </si>
  <si>
    <t>Marc Quero</t>
  </si>
  <si>
    <t>Catalonia  SPAIN</t>
  </si>
  <si>
    <t>Una sociedad culta es una sociedad que sabe que los políticos son sus empleados y cobran muy bien por su trabajo.</t>
  </si>
  <si>
    <t>¡OJO! @Pablo_Iglesias_ PPSOE principalmente, aunque otros les hacen también el juego, por ej. PdCAT, llevan décadas DESPRESTIGIANDO LA POLÍTICA y SU FUNCIÓN porque lo único que les importa es llegar al gob. y mantenerse con sea, aunque sea cada vez con MENOS CREDIBILIDAD y VOTOS.</t>
  </si>
  <si>
    <t>Pablo CG</t>
  </si>
  <si>
    <t>Pablo Iglesias habla de formar un república para garantizar la unidad de España. Lo dice el mismo que va a visitar a las cárceles a quienes quieren romperla. El mismo que se alía con los que desprenden odio en sede parlamentaria. La unidad de España no se crea, se defiende.</t>
  </si>
  <si>
    <t>Paco Bardes Panyagua</t>
  </si>
  <si>
    <t>Entre tanto lío que si le han escupido a Bórrelo y tonterías de ese tipo se les ha olvidado que hoy @Pablo_Iglesias_ ha propuesto hacer de BANKIA un banco público para los ciudadanos que hemos pagado la crisis de los ricos @sanchezcastejon</t>
  </si>
  <si>
    <t>Estudiante. ADE y Derecho @uc3m. En @nnggmadrid del @ppmadrid. ¿Hablamos? Seguro que estamos de acuerdo en algo. contactopablocast13@gmail.com</t>
  </si>
  <si>
    <t>pic.twitter.com/VmsAaA85Rr</t>
  </si>
  <si>
    <t>DelMundo</t>
  </si>
  <si>
    <t>Antifascista. Republicano. El que quiera Iglesia que se la pague. las verdades NO las cuentan quienes nos mienten.</t>
  </si>
  <si>
    <t>http://contracobardes.blogspot.com.es/?m=1</t>
  </si>
  <si>
    <t>Más comentados ahora en Izquierda/Centro Izqda.: ➀ @gabrielrufian ↓ ➁ @PPopular ↑ ➂ @PSOE ↑ ➃ @RubenSanchezTW ↑ ➄ @sanchezcastejon ↑ ➅ @Pablo_Iglesias_ ↑ ➆ @protestona1 ↑ ➇ @Yo_Soy_Asin ↑ ➈ @ccarnicero ↓</t>
  </si>
  <si>
    <t>Más influyentes ahora en Izquierda/Centro Izqda.: ➀ @RubenSanchezTW ↑ ➁ @protestona1 ↑ ➂ @Pablo_Iglesias_ ↑ ➃ @Yo_Soy_Asin ↑ ➄ @ander_errasti ↓ ➅ @ccarnicero ↓ ➆ @TigrilloTW ↑ ➇ @PSOE ↑ ➈ @boye_g ↓ ➉ @BeatrizTalegon ↓</t>
  </si>
  <si>
    <t>JaviKnight</t>
  </si>
  <si>
    <t>Tuiter, ahora mismo, me recomienda seguir a @Pablo_Iglesias_ @DANIROVIRA y a @marianorajoy Qué cojones es esto de tuiter. En fin. Me voy a ver Predators. A esa si que la sigo.</t>
  </si>
  <si>
    <t>Rafael R. Huertas</t>
  </si>
  <si>
    <t>Hecho el test de The Guardian me da que soy lo más similar a Emmanuel Macron (filósofo) y lo menos similar al Coletas Pablo Iglesias. Cerca de Obama y Macron, lejos del demagogo Iglesias. Bien.</t>
  </si>
  <si>
    <t>Viajero. PhD Philosophy. Life and Knowledge is my motto. https://www.amazon.com/s/ref=nb_sb_noss?url=search-alias%3Daps&amp;field-keywords=rafael+r.+huertas</t>
  </si>
  <si>
    <t>http://filonet.es/</t>
  </si>
  <si>
    <t>"Pájaro y Oso y Liebre y Pez"</t>
  </si>
  <si>
    <t>Gómez</t>
  </si>
  <si>
    <t>Pablo Iglesias sa pasao a Vox</t>
  </si>
  <si>
    <t>the observer</t>
  </si>
  <si>
    <t>Cuando se vende humo, esto es lo que pasa @sanchezcastejon , @Pablo_Iglesias_ . Hay que ser más serios.Elecciones ya.</t>
  </si>
  <si>
    <t>pic.twitter.com/azRBCrTNqv</t>
  </si>
  <si>
    <t>https://www.elmundo.es/economia/macroeconomia/2018/11/21/5bf542fa46163f8e9e8b4669.html</t>
  </si>
  <si>
    <t>Talavera de la Reina, España</t>
  </si>
  <si>
    <t>🎧⌨️ Talavera de la reina - Salamanca</t>
  </si>
  <si>
    <t>Aquí @gabrielrufian define muy bien a este ministro del PSOE Pedro Sánchez, Presidente del Gobierno puesto en Moncloa por @Pablo_Iglesias_</t>
  </si>
  <si>
    <t>pic.twitter.com/gS4pfPbq1j</t>
  </si>
  <si>
    <t>Manolo</t>
  </si>
  <si>
    <t>El cruce de insultos entre Borrell y Rufian distraen y tapan la propuesta, de interés general, que le ha hecho @Pablo_Iglesias_ a @sanchezcastejon para que Bankia funcione como banca pública, al servicio de la ciudadanía. RT @Pablo_Iglesias_: El Gobierno del PP nacionalizó Bankia con el dinero de todos los españoles. ¿Qué sentido tiene privatizarla ahora que la hemos saneado? Lo sensato es que Bankia funcione como banca pública, al servicio de la ciudadanía. Así se lo he dicho a Pedro Sánchez en el Congreso 👇🏽</t>
  </si>
  <si>
    <t>Tabarnio_155 🏳️‍🌈</t>
  </si>
  <si>
    <t>Pablo Iglesias, fábrica de monárquicos.</t>
  </si>
  <si>
    <t>Una sociedad que sustituye bienestar por beneficio es el exponente de una sociedad en grave decadencia. José Luis Sampedro</t>
  </si>
  <si>
    <t>#SacrificioCero #AdoptaNoCompres #AbandonoCero #StopGalgueros #NoALaCazaConGalgo 🐕🐈♻️🌊</t>
  </si>
  <si>
    <t>Bosco Vera</t>
  </si>
  <si>
    <t>Les comparto mi artículo en la página 94, “Ecuador y el mito de la caverna: el imaginario gobierno de todos.” Cuadernos de Formación @CELAGeopolitica 2018, nos trae, entre otros contenidos de nivel, dos conferencias magistrales de @ernestosamperp y @Pablo_Iglesias_ . RT @CELAGeopolitica: 📚 Lanzamos los Cuadernos de Formación 2018 de CELAG 📚 📈Economía 📊Sociología 🌎Geografía 👩‍🏫Antropología 🕌Historia 📹Comunicación Descarga el material de forma gratuita desde nuestra web 👇</t>
  </si>
  <si>
    <t>https://twitter.com/CELAGeopolitica/status/1065208705187164160
https://bit.ly/2Dw4mu2</t>
  </si>
  <si>
    <t>Manta - Ecuador</t>
  </si>
  <si>
    <t>Manabita|Coleccionista de vivencias|Master en Comunicación Corporativa - @USPCEU - Madrid|Consultor en Comunicación Estratégica|L.·.I.·. F.·.</t>
  </si>
  <si>
    <t>Pakito Navarro</t>
  </si>
  <si>
    <t>Cuéntame un cuento. Pablo Iglesias: Una nueva república será la mejor garantía para una España unida sobre la base del respeto y la libre decisión de sus pueblos y sus gentes. Qué bonito y qué romántico, sobre todo por lo del respeto y la libre decisión.</t>
  </si>
  <si>
    <t>Cataluña, España</t>
  </si>
  <si>
    <t>Si los corruptos volaran nunca veríamos el sol. Nacido en Granada, amante y defensor de la dignidad</t>
  </si>
  <si>
    <t>cule🎗 vive y deja vivir</t>
  </si>
  <si>
    <t>El Gobierno del PP nacionalizó Bankia con el dinero de todo los Españoles.Que sentido tiene ahora privatizarla ahora que la hemos saneado? Lo sensato es que Bankia funcione como banca pública, al servicio de la Ciudadanía 👉 @Pablo_Iglesias_ a @sanchezcastejon 👇👇</t>
  </si>
  <si>
    <t>pic.twitter.com/Xq1JB4eNka</t>
  </si>
  <si>
    <t>Scheiße</t>
  </si>
  <si>
    <t>Según esto, el político populista más cercano a mí es Pablo Iglesias y el más lejano Donald Trump. Y según la encuesta posterior, en una escala de 4 a 28 (menos a más populista), tengo un 21. Pos vaya</t>
  </si>
  <si>
    <t xml:space="preserve">#En algun Lugar de Jaen </t>
  </si>
  <si>
    <t>Naci siendo del barça, Indignado, ANDALUZ y de JAÉN #VivaAndaluciaLibre</t>
  </si>
  <si>
    <t>https://pbs.twimg.com/media/DsoFLLsW0AAWev2.jpg</t>
  </si>
  <si>
    <t>Andorre</t>
  </si>
  <si>
    <t>My ARTPOP could mean anything</t>
  </si>
  <si>
    <t>http://youtu.be/cggNqDAtJYU</t>
  </si>
  <si>
    <t>JM</t>
  </si>
  <si>
    <t>Se pregunta @ahorapodemos qué hacemos en el #Bierzo. No volver más. Círculos y organización destrozada. Stop. Al menos esta pareja de cualificados predadores @Pablo_Iglesias_ @pnique @TeresaRodr_ @ierrejon @BasesPodemosBzo @PonfePodemos @JCSunen</t>
  </si>
  <si>
    <t>http://bierzocomarca.eu/index.php?option=com_content&amp;view=article&amp;id=36670:podemos-critica-la-paralizacion-de-las-inversiones-programadas-por-la-junta&amp;catid=21&amp;Itemid=6</t>
  </si>
  <si>
    <t>#VillafrancadB León-España</t>
  </si>
  <si>
    <t>Buscar y decir la verdad, tal y como se piensa, no puede ser nunca delito A nadie se le puede obligar a creer La conciencia es libre. Sebastián Castellio 1551🎗</t>
  </si>
  <si>
    <t>JR</t>
  </si>
  <si>
    <t>Guardia Civil: el ministro Marlaska deniega los permisos de Navidad a los agentes destinados en Cataluña  vía @Periodistadigit una verguenza para eso si esta @guardiacivil verdad?@AdaColau @Pablo_Iglesias_ ??</t>
  </si>
  <si>
    <t>David Villa</t>
  </si>
  <si>
    <t>El argumento central del artículo de Pablo Iglesias es esta gilipollez.</t>
  </si>
  <si>
    <t>https://pbs.twimg.com/media/DsoDNqfXgAEdK1X.jpg</t>
  </si>
  <si>
    <t>https://www.periodistadigital.com/economia/empleo/2018/11/21/guardai-civil-el-ministro-marlaska-deniega-los-permisos-de-navidad-a-los-agentes-destinados-en-cataluna.shtml</t>
  </si>
  <si>
    <t>Mal, todo mal.</t>
  </si>
  <si>
    <t>ACK ACK!</t>
  </si>
  <si>
    <t>‼️INMENSO @Albert_Rivera ‼️ 🗳👉🏻Propone un corte electoral del 3% para evitar espectáculos como el de ayer y que Rufián no humille a los españoles. 💥Menuda SOMANTA a Sánchez, Rufián y Pablo Iglesias ¡¡3 en 1!! #AhoraSiCordoba</t>
  </si>
  <si>
    <t>Reflexión: @Pablo_Iglesias_ es el Rollo de la serie @Vikings_Esp de pelear por su humilde pueblo y sus dioses paganos a vivir burguesmente en Paris o en su defecto Galapagar...#viking</t>
  </si>
  <si>
    <t>Aguscam</t>
  </si>
  <si>
    <t>D. Castell</t>
  </si>
  <si>
    <t>El verdadero Pedro Sánchez - InfoVlogger  vía @YouTube Un inútil que no saldrá de la Moncloa salvo que sea con los pies por delante o esposado por alta traición. A nadie se le esconde que obedece órdenes de ZP y de @Pablo_Iglesias_ y tal vez de SOROS.</t>
  </si>
  <si>
    <t>https://youtu.be/OBEluUwFIu0</t>
  </si>
  <si>
    <t>Aprendiendo siempre. Quien ama de verdad lo hace en silencio, con hechos, y nunca con palabras.</t>
  </si>
  <si>
    <t>⛄❄ Selim II ❄⛄ #nonutnovember</t>
  </si>
  <si>
    <t>Estamos hablando de las corbatas de Pablo Iglesias y Albert Rivera jsjsjjsjjs</t>
  </si>
  <si>
    <t>Más comentados ahora en Izquierda/Centro Izqda.: ➀ @gabrielrufian ↑ ➁ @PPopular ↓ ➂ @sanchezcastejon ↑ ➃ @PSOE ↓ ➄ @Pablo_Iglesias_ ↓ ➅ @ccarnicero ↑ ➆ @JosepBorrellF ↑ ➇ @BeatrizTalegon ↑↑ ➈ @susanadiaz ↑</t>
  </si>
  <si>
    <t>İstanbul, Türkiye</t>
  </si>
  <si>
    <t>Sí</t>
  </si>
  <si>
    <t>https://es.m.wikiquote.org/wiki/Winston_Churchill</t>
  </si>
  <si>
    <t>🎗💙 aborigen #JuntasMásFuertes 💙🎗</t>
  </si>
  <si>
    <t>#ParaQuéSirveLaMonarquía Hermann Tertsch cree que la monarquía sirve "para evitar que sea necesaria una guerra para impedir una dictadura de Pablo Iglesias"  vía @eldiarioes</t>
  </si>
  <si>
    <t xml:space="preserve">Infierno </t>
  </si>
  <si>
    <t>A veces puedo caerte bien. Y a veces puedo caerte mal. Nunca seré tu amigo 😒 Canario Cómo El 🍌 🍌🍌 Construyendo El Camino De Mi Princesa 👸 Voto Podemos ☐</t>
  </si>
  <si>
    <t>Más influyentes ahora en Izquierda/Centro Izqda.: ➀ @Pablo_Iglesias_ ↓ ➁ @ccarnicero ↓ ➂ @BeatrizTalegon ↑↑ ➃ @RubenSanchezTW ↑ ➄ @ander_errasti ↑↑ ➅ @iescolar ↓ ➆ @protestona1 ↑ ➇ @Yo_Soy_Asin ↑ ➈ @ionebelarra ↑</t>
  </si>
  <si>
    <t>#15M Sin #Transparencia total en la #Gestión de cualquier bien que dependa de la #AdministraciónPública la historia sería #VolverAEmpezar. O @Pablo_Iglesias_ acaso volverías a confiar en @PPopular @PSOE @iunida @CCOO y @UGT_Comunica por puestos para @ahorapodemos en @HolaBankia</t>
  </si>
  <si>
    <t>https://pbs.twimg.com/media/Dshzd3DW0AAhhsu.jpg</t>
  </si>
  <si>
    <t>Milenial Madurito</t>
  </si>
  <si>
    <t>Oye @Pablo_Iglesias_ , tú has hecho esto? Sales dónde te dicen que tienes que salir?</t>
  </si>
  <si>
    <t>https://pbs.twimg.com/media/DshskFgXgAAxOop.jpg</t>
  </si>
  <si>
    <t>Ahora que Sánchez viaja a Cuba es el momento de cambiarles los restos de Franco por los de Fidel y llevarlos al Valle de los Caídos para que Pablo Iglesias pueda rendir homenaje a un demócrata de los de verdad. 🔗 91M Pelea de pelear, PRINCIPIO DE MEDIACIÓN,</t>
  </si>
  <si>
    <t>Melbourne, Victoria</t>
  </si>
  <si>
    <t>Pablo Echenique. Entre los gritos de fascistas y golpistas y el escupitajo fantasma a Borrell, se les olvida contarte que .@Pablo_Iglesias_ ha propuesto a .@sanchezcastejon que los 22.000 mill que nos costó #Bankia, sirvan para tener una banca pública como en Alemania u Holanda.</t>
  </si>
  <si>
    <t>https://pbs.twimg.com/media/DshsFLtXcAEtbAz.jpg</t>
  </si>
  <si>
    <t>Paulo Mariante</t>
  </si>
  <si>
    <t>TROMPETA..7⏳</t>
  </si>
  <si>
    <t>💥VAYA OSTIÓN 💥Albert RIVERA ⚡️ZURRA⚡️ a RUFIÁN, a SÁNCHEZ y a PABLO IGLESIAS ¡¡3X1!!</t>
  </si>
  <si>
    <t>A lo mejor, entre los gritos de "fascistas" y "golpistas" y el escupitajo fantasma a Borrell, se les olvida contarte que @Pablo_Iglesias_ ha propuesto a @sanchezcastejon que los 22.000 millones que nos costó Bankia sirvan para tener una banca pública como en Alemania u Holanda. RT @pnique: A lo mejor, entre los gritos de "fascistas" y "golpistas" y el escupitajo fantasma a Borrell, se les olvida contarte que @Pablo_Iglesias_ ha propuesto a @sanchezcastejon que los 22.000 millones que nos costó Bankia sirvan para tener una banca pública como en Alemania u Holanda.</t>
  </si>
  <si>
    <t>https://www.youtube.com/attribution_link?a=OHPfYQkRn5o&amp;u=%2Fwatch%3Fv%3DVn5QOJG3_SM%26feature%3Dshare</t>
  </si>
  <si>
    <t xml:space="preserve">Barcelona. España </t>
  </si>
  <si>
    <t>Nunca lleves tus mejores pantalones cuando salgas a luchar por la paz y la libertad</t>
  </si>
  <si>
    <t>Campinas, SP, Brasil</t>
  </si>
  <si>
    <t>Iglesias sugiere ‘una república’ para preservar unidad española - El líder del partido Podemos, Pablo Iglesias, cuestiona la utilidad de la monarquía en España y pide “una nueva república” para garanti...</t>
  </si>
  <si>
    <t>Nasci em 1963, e milito desde 1977 na luta social.Socialista e LGBT, sou filiado ao Partido dos Trabalhadores desde 1981.</t>
  </si>
  <si>
    <t>http://redeptsp.com.br/paulomariante/</t>
  </si>
  <si>
    <t>http://bit.ly/2DTgMxd</t>
  </si>
  <si>
    <t>Bruselas desmonta el presupuesto de Pedro @sanchezcastejon, tal como él mismo había previsto, lo que confirma a @Pablo_Iglesias_ en su condición de tonto de capirote. Nunca pensó en otra cosa que en prorrogar los presupuestos de Rajoy:  @ahorapodemos @PSOE</t>
  </si>
  <si>
    <t>Judith ♀</t>
  </si>
  <si>
    <t>La facilidad de la derecha para incluir a Pablo Iglesias en cualquier conversación/respuesta me parece admirable RT @Rocigaot:</t>
  </si>
  <si>
    <t>https://twitter.com/Rocigaot/status/1065552316777066496</t>
  </si>
  <si>
    <t>https://pbs.twimg.com/media/DsmaK5yWkAAQhqH.jpg</t>
  </si>
  <si>
    <t>Poesía 💟 / Literatura en UCM 📚 «Las cadenas son cadenas aun de seda» Lloro todavía más en @canigetawafflez</t>
  </si>
  <si>
    <t>https://www.instagram.com/judithcuchillo/</t>
  </si>
  <si>
    <t>Jose A. Cueto 🇪🇸🇧🇪</t>
  </si>
  <si>
    <t>¿Qué prensa tiene que leer el de "a pie" para evitar las trampas de las #FakeNews? @Pablo_Iglesias_ @pnique @sanchezcastejon @Albert_Rivera @gabrielrufian @KRLS Ya sé que no vais a perder el tiempo en contestar. #Prensa @rtve @elmundoes @elpais_espana @okdiario @eldiarioes</t>
  </si>
  <si>
    <t>Torcuato Teixeira</t>
  </si>
  <si>
    <t>¿Para qué sirve hoy la monarquía?; por Pablo Iglesias CONCORDO, A DEMOCRACIA ESPAÑOLA É MOI MELLORABLE E DENDE LOGO EVOLUCIONAR CARA UNHA REPÚBLICA AXUDARÍA A SÚA MELLORA! vía @el_pais</t>
  </si>
  <si>
    <t>Woluwe-Saint-Lambert, Belgique</t>
  </si>
  <si>
    <t>Le jour où on mettra les cons en orbite, beaucoup ne seront pas prêts de s'arrêter de tourner (M.Audiard)</t>
  </si>
  <si>
    <t>Más comentados ahora en Izquierda/Centro Izqda.: ➀ @gabrielrufian ↑ ➁ @PPopular ↑ ➂ @PSOE ↓ ➃ @Pablo_Iglesias_ ↓ ➄ @protestona1 ↓ ➅ @sanchezcastejon ↓ ➆ @ccarnicero ↑ ➇ @iescolar ↑↑ ➈ @pnique ↑ ➉ @JosepBorrellF ↓</t>
  </si>
  <si>
    <t>Santiago de Compostela.</t>
  </si>
  <si>
    <t>AVOGADO, ESPECIALISTA EN PESCA MARÍTIMA, ADMIRADOR DE TOM WAITS, DE GRUPO SALVAXE, E DE TODOS OS PERDEDORES QUE NUNCA SE DAN POR VENCIDOS, GALEGO E DE ESQUERDAS</t>
  </si>
  <si>
    <t>¿Para qué sirve hoy la monarquía?, de Pablo Iglesias, @Pablo_Iglesias "El impulso constituyente que empujó el 15-M y que empuja hoy el movimiento feminista apunta en esa dirección republicana."  #ParaQuéSirveLaMonarquía #CaminoDeLaRepública</t>
  </si>
  <si>
    <t>Más influyentes ahora en Izquierda/Centro Izqda.: ➀ @Pablo_Iglesias_ ↓ ➁ @protestona1 ↓ ➂ @PSOE ↑ ➃ @ccarnicero ↑ ➄ @iescolar ↑↑ ➅ @pnique ↑ ➆ @RubenSanchezTW ↑ ➇ @Yo_Soy_Asin ↑↑ ➈ @ionebelarra ↑↑ ➉ @ander_errasti ↑</t>
  </si>
  <si>
    <t>Elentir 🇪🇸</t>
  </si>
  <si>
    <t>¿Para qué sirve hoy Podemos? Mi respuesta al artículo de Pablo Iglesias en El País contra la monarquía, a la que ataca por perversos motivos que él mismo deja en evidencia.</t>
  </si>
  <si>
    <t>Álvaro Martín</t>
  </si>
  <si>
    <t>Hola @sanchezcastejon @Pablo_Iglesias_ 👇👇👇 RT @elmundoes: #ÚltimaHora 🔴 Bruselas desmonta punto por punto el Presupuesto de Sánchez.</t>
  </si>
  <si>
    <t>https://twitter.com/elmundoes/status/1065208398524882944
https://trib.al/yR1rcwL</t>
  </si>
  <si>
    <t>https://pbs.twimg.com/media/DshhZKnXcAA-SH8.jpg</t>
  </si>
  <si>
    <t>Vigo · Galicia · España</t>
  </si>
  <si>
    <t>«Lo único que se necesita para que triunfe el mal es que los hombres de bien no hagan nada.» Edmund Burke</t>
  </si>
  <si>
    <t>http://www.elentir.info</t>
  </si>
  <si>
    <t>Torrelavega, España</t>
  </si>
  <si>
    <t>Padre (2👶🏻). Ingeniero Químico. Consejero Político Nacional de UPYD. Portavoz de UPYD Cantabria. Mis opiniones son eso, opiniones. Y mías, solo mías.</t>
  </si>
  <si>
    <t>El rechazo ha sido prudente. No está bien asesorado, a mi entender, @Pablo_Iglesias_ en lo referente al rescate bancario y a la situación actual de la banca. Que la banca no sea Santa Banca, no implica DEMONIZARLA .Ponerla en RIESGO supondría una IRRESPONSABILIDAD política GRAVE.</t>
  </si>
  <si>
    <t>https://pbs.twimg.com/media/DshlAyIXgAUjgLD.jpg</t>
  </si>
  <si>
    <t>Será la comida de la que habla @ierrejon defiende el macho alfa uyyysss perdón @Pablo_Iglesias_ Y corrobora el mameluco @pnique ¿Que dirá de esto la Madame @Irene_Montero_ ?🤔🤔🤔 RT @desamparadosb: Madre mía no encuentro palabras.😲</t>
  </si>
  <si>
    <t>https://twitter.com/desamparadosb/status/1065207782922702849
https://twitter.com/TorresAren/status/1064991662219411456</t>
  </si>
  <si>
    <t>federico e pacheco</t>
  </si>
  <si>
    <t>nafasaro1</t>
  </si>
  <si>
    <t>Mira @pnique Los 'Clinton de #Cádiz' no quieren saber de @Pablo_Iglesias_  vía @elmundoes #SiSePuede</t>
  </si>
  <si>
    <t>caracas</t>
  </si>
  <si>
    <t>El amor es un acto de fe, quien tenga poca fe también tendrá poco amor. Erich Fromm</t>
  </si>
  <si>
    <t>https://www.elmundo.es/andalucia/2018/11/21/5bf46ba046163f4da28b4607.html</t>
  </si>
  <si>
    <t>Million Years Ago</t>
  </si>
  <si>
    <t>Pablo Iglesias, por ejemplo. RT @LaFallaras: Si no condenas en fascismo, ¿qué eres? Si no condenas una dictadura, ¿qué eres? Si no condenas un régimen que asesinó a miles y miles de personas y torturó a otras tantas, ¿qué eres?</t>
  </si>
  <si>
    <t>Africa</t>
  </si>
  <si>
    <t>Maestro en Salsas de Ali Oli y Autofílico</t>
  </si>
  <si>
    <t>https://twitter.com/LaFallaras/status/1065297288761876486
https://elpais.com/politica/2018/11/21/actualidad/1542812383_600299.html</t>
  </si>
  <si>
    <t>A los pies de la Giralda</t>
  </si>
  <si>
    <t>The only prisons that exist are the ones we put each other in</t>
  </si>
  <si>
    <t>http://instagram.com/titanicarlos</t>
  </si>
  <si>
    <t>Oscar Nuñez Jimenez</t>
  </si>
  <si>
    <t>hola @sanchezcastejon @Pablo_Iglesias_, parejita parece ser que vuestras cuentas no eran muy correctas 🤣🤣🤣🤣🤣..... venga Pedrito, esas elecciones..!!!! RT @elmundoes: #ÚltimaHora 🔴 Bruselas desmonta punto por punto el Presupuesto de Sánchez.</t>
  </si>
  <si>
    <t>Castelldefels, España</t>
  </si>
  <si>
    <t>Sonrie cabron, sonrie siempre....</t>
  </si>
  <si>
    <t>Pau Marí-Klose</t>
  </si>
  <si>
    <t>No muy lejos de Pablo Iglesias en el eje ideológico, y de Obama en el eje sobre populismo. Instalado cómodamente en la socialdemocracia</t>
  </si>
  <si>
    <t>Y mientras @Pablo_Iglesias_ hablando de nimiedades como la necesidad de una banca pública que acabe con los abusos de la privada y garantice los derechos de los que siempre acabamos estafados. Pero ya de eso hablamos otro día. #SesiónDeControl</t>
  </si>
  <si>
    <t>https://pbs.twimg.com/media/Dsn_DxbUwAAeR58.jpg</t>
  </si>
  <si>
    <t>pic.twitter.com/Dn51nBPCKY</t>
  </si>
  <si>
    <t>Madrid/ Zaragoza/ Barcelona / Ibiza</t>
  </si>
  <si>
    <t>Cuenta personal de profe en @unizar, ahora en excedencia para ejercer de Alto Comisionado. Discutí aquí con vehemencia y mucho sarcasmo. Ahora más domesticado</t>
  </si>
  <si>
    <t>Círculo Podemos Lugo</t>
  </si>
  <si>
    <t>“As bancarrotas socialízanse, e sen embargo as ganancias privatízanse” de Eduardo Galeano, citado por @Pablo_Iglesias_ no Congreso sobre Bankia e a estafa da banca.</t>
  </si>
  <si>
    <t>Jose Rguez.</t>
  </si>
  <si>
    <t>Jefe de Pablo Iglesias y socio preferente de @sanchezcastejon RT @manuperez2002: COMUNISMO...</t>
  </si>
  <si>
    <t>pic.twitter.com/BGAWKidnn3</t>
  </si>
  <si>
    <t>Lugo</t>
  </si>
  <si>
    <t>Podes esperar solucións ou aportar. Temos que ser unha pero ser para tod@s. Por unha alternativa política popular, aberta e participativa: Xuntos Podemos!</t>
  </si>
  <si>
    <t>Dos Hermanas</t>
  </si>
  <si>
    <t>La seriedad profesional y personal es un caracter determinante de las personas y la sociedad</t>
  </si>
  <si>
    <t>Cállate, a nadie le importa @Pablo_Iglesias_ y @ahorapodemos es que no os enteráis que estáis muertos políticamente? RT @pnique: A lo mejor, entre los gritos de "fascistas" y "golpistas" y el escupitajo fantasma a Borrell, se les olvida contarte que @Pablo_Iglesias_ ha propuesto a @sanchezcastejon que los 22.000 millones que nos costó Bankia sirvan para tener una banca pública como en Alemania u Holanda.</t>
  </si>
  <si>
    <t>ANTI PODEMOS a tope</t>
  </si>
  <si>
    <t>Que @Pablo_Iglesias_ ha propuesto hoy a Pedro Sánchez que los 22000 millones que nos costó Bankia sirvan para que sea una banca pública ya si eso lo comentáis otro día @DebatAlRojoVivo.</t>
  </si>
  <si>
    <t>Medidas podemitas contra el paro de larga duración y/o en mayores de 50 años: -Pablo Iglesias debe nombrar a los jueces del TS -Cerrar el Senado porque no nos votan -Abolir la monarquía -Atacar a los medios no afines a Podemos</t>
  </si>
  <si>
    <t>DDHH Discapacidad</t>
  </si>
  <si>
    <t>#Israel es el #Pueblo de #Dios mientras #Palestina es #Violencia y #Terrorismo en #Mediooriente esa es la #Verdad que oculta @Pablo_Iglesias_ y @evoespueblo que violan #Derechoshumanos en #España y #Bolivia mira @ONU_es @OEA_oficial @CIDH @Declaracion @radioplatinumec @CNNEE #EU</t>
  </si>
  <si>
    <t>DDHH y discapacidad en el mundo</t>
  </si>
  <si>
    <t>Salvador García</t>
  </si>
  <si>
    <t>How populist are you?  Dice The Guardian que soy más onda Pablo Iglesias que Donald Trump.</t>
  </si>
  <si>
    <t>https://pbs.twimg.com/media/Dsn-ZmpW0AEgqQe.jpg</t>
  </si>
  <si>
    <t>#Si @Pablo_Iglesias_ y @NicolasMaduro son #Comunismo porque #No reparten su riqueza con los #Pobres de #España y #Venezuela? Son #Millonarios pero de donde ganaron el #Dinero? Mira @ONU_es @OEA_oficial @CIDH @_ELREVERSO @teleSURtv @radiocityec @eluniversocom @dw_espanol @CNNEE</t>
  </si>
  <si>
    <t>Uruguay</t>
  </si>
  <si>
    <t>Creo en las personas.</t>
  </si>
  <si>
    <t>https://huit.re/TodaviaLasNubes</t>
  </si>
  <si>
    <t>Ikusle</t>
  </si>
  <si>
    <t>Abren una causa para beatificar al dictador Francisco Franco: “Fue un santo indiscutible”  @Pablo_Iglesias_</t>
  </si>
  <si>
    <t>El agente castro-irano-chavista Pablo Iglesias ya firma los editoriales de EL PAIS. Siguiente paso, los Decretos Ley de su marioneta Sanchez. 🗣️ S2H SIN CRISIS DE GOBIERNO, Congregación, AUTODETERMINACIÓN – consenso es un acuerdo, Coordinación, VÍNCULO SUBSTANCIAL,</t>
  </si>
  <si>
    <t>http://www.ikusle.com/abren-una-causa-para-beatificar-al-dictador-francisco-franco-fue-un-santo-indiscutible/</t>
  </si>
  <si>
    <t>Euskadi</t>
  </si>
  <si>
    <t>Última hora y noticias de Euskadi, España e internacional. Facebook http://facebook.com/ikusle Vídeos y audios @ikuslemedia Radio en directo http://ikusle.com/directo</t>
  </si>
  <si>
    <t>http://www.ikusle.com</t>
  </si>
  <si>
    <t>El agente castro-irano-chavista Pablo Iglesias ya firma los editoriales de EL PAIS. Siguiente paso, los Decretos Ley de su marioneta Sanchez. ➡️ 4CG LIBERTAD FUNDAMENTANTE, Mandato imperativo, Sedición, LIBERTAD EXISTENCIAL, LIBERACIÓN, Directriz, LibConstituyente,</t>
  </si>
  <si>
    <t>El @Congreso_Es necesita YA la puesta en marcha del sistema del VAR. @gabrielrufian @JosepBorrellF @Pablo_Iglesias_ @sanchezcastejon @Albert_Rivera #SesionDeControl #escupitajo #insulto</t>
  </si>
  <si>
    <t>pic.twitter.com/1BRXaNUlcb</t>
  </si>
  <si>
    <t>Juan Casado</t>
  </si>
  <si>
    <t>Es muy fácil para Pedro Sanchez dejar hacer el trabajo a Unidos Podemos, aceptar unos presupuestos que saben que no se van a aprobar, quedarse con el mérito y presentarlos como promesas en las próximas elecciones... Al loro @Pablo_Iglesias_ @ahorapodemos ! RT @Pablo_Iglesias_: El Gobierno debe trabajar más para sacar adelante los presupuestos. España necesita que puedan comenzar a revertirse los recortes y se invierta en políticas que mejoren la vida de la gente. La pasividad del Gobierno a este respecto no es aceptable.</t>
  </si>
  <si>
    <t>Chatarra</t>
  </si>
  <si>
    <t>Hermann Tertsch cree que la monarquía sirve "para evitar que sea necesaria una guerra para impedir una dictadura de Pablo Iglesias"  vía @eldiarioes Hay listos que parecen tontos, ya que la monarquía sirve para hacernos más pobres..y menos democráticos..</t>
  </si>
  <si>
    <t>https://twitter.com/Pablo_Iglesias_/status/1064896140020252672</t>
  </si>
  <si>
    <t>https://pbs.twimg.com/media/DsdFWDSWkAARmtn.jpg</t>
  </si>
  <si>
    <t>No necesitamos más control mental. Igualdad-Libertad-Justicia. Salú.</t>
  </si>
  <si>
    <t>Investigador e inventor. Doctor en Ciencias por la @UABBarcelona. Previsiones políticas. Noticias científicas y de impacto social. ✊Si me sigues te sigo.</t>
  </si>
  <si>
    <t>https://www.researchgate.net/profile/Juan_Casado2</t>
  </si>
  <si>
    <t>Más comentados ahora en Izquierda/Centro Izqda.: ➀ @gabrielrufian ↑ ➁ @PSOE ↑ ➂ @sanchezcastejon ↑ ➃ @PPopular ↓ ➄ @Pablo_Iglesias_ ↑↑↑ ➅ @RubenSanchezTW ↑ ➆ @JosepBorrellF ↑ ➇ @protestona1 ↓ ➈ @CiudadanosCs ↑</t>
  </si>
  <si>
    <t>Más influyentes ahora en Izquierda/Centro Izqda.: ➀ @Pablo_Iglesias_ ↓ ➁ @RubenSanchezTW ↑ ➂ @protestona1 ↓ ➃ @PSOE ↑ ➄ @pnique ↓ ➅ @BeatrizTalegon ↓ ➆ @JonInarritu ↑↑↑ ➇ @La_SER ↓ ➈ @patricialopezl ↓ ➉ @tableroglobal</t>
  </si>
  <si>
    <t>ELENA</t>
  </si>
  <si>
    <t>Watch "Pablo Iglesias con los trabajadores de @AirBus en huelga" on YouTube</t>
  </si>
  <si>
    <t>https://youtu.be/sUFhODnOwS8</t>
  </si>
  <si>
    <t>En Cuerpo Y Alma</t>
  </si>
  <si>
    <t>Apuntaros...@sanchezcastejon @Pablo_Iglesias_ @ierrejon @gabrielrufian 🤡🤡🤡🤡 @PSOE @ahorapodemos @EsquerraERC escorias RT @SER_Cartagena: Abierto el plazo de inscripción para las carrozas de la Cabalgata de Reyes  vía @SER_Cartagena</t>
  </si>
  <si>
    <t>Otra Vuelta de Tuerka</t>
  </si>
  <si>
    <t>Periodista. Feminista. Escritora. Esta semana Pablo Iglesias entrevista a @LaFallaras en Otra Vuelta de Tuerka. Viernes. 18h. PúblicoTV.</t>
  </si>
  <si>
    <t>https://twitter.com/SER_Cartagena/status/1065196891066023936
http://cadenaser.com/emisora/2018/11/21/radio_cartagena/1542797127_311941.html?ssm=tw</t>
  </si>
  <si>
    <t>pic.twitter.com/aF5gK2acgc</t>
  </si>
  <si>
    <t>En cualquier parte de tú mundo</t>
  </si>
  <si>
    <t>Las entrevistas donde la protagonista es la invitada. Y siempre, siempre con estilo 'tuerka'. Todos los viernes a las 18:00 h. en http://www.publico.es.</t>
  </si>
  <si>
    <t>CAONGD</t>
  </si>
  <si>
    <t>¿Sabéis en qué se traduce la inversión de España en AOD? Aquí os resumimos el trabajo de las ONGD españolas  #CooperaPaCuando @sanchezcastejon @Albert_Rivera @Pablo_Iglesias_ @agarzon @pablocasado_ @JoanTarda @AITOR_ESTEBAN @desdelamoncloa @JosepBorrellF</t>
  </si>
  <si>
    <t>http://informe2017.coordinadoraongd.org/</t>
  </si>
  <si>
    <t>https://pbs.twimg.com/media/DshVxU5WsAIDDZs.jpg</t>
  </si>
  <si>
    <t>https://pbs.twimg.com/media/DsnduAMX4AAesdI.jpg</t>
  </si>
  <si>
    <t>La Coordinadora Andaluza de ONGD agrupa a seis plataformas provinciales y 66 organizaciones que trabajan en cooperación internacional para el desarrollo</t>
  </si>
  <si>
    <t>http://www.caongd.org</t>
  </si>
  <si>
    <t>aljo maes</t>
  </si>
  <si>
    <t>Oye @pnique estaba borrando videos y me he encontrado éste tuyo que me ha encantado. Es la explicación exacta del ideario de @ahorapodemos con el apoyo explícito de vuestro caudillo @Pablo_Iglesias_ otro que es absolutamente coherente con lo que promulga y critíca, como tu Salu2</t>
  </si>
  <si>
    <t>pic.twitter.com/27biOyXN72</t>
  </si>
  <si>
    <t>Cristiano, español y amante de España de todas y cada una de sus regiones. Aficionado a los toros y al rugby, por ese orden. Luchador, porque no queda otra</t>
  </si>
  <si>
    <t>V</t>
  </si>
  <si>
    <t>Como miembro de @ahorapodemos creo que debemos condenar lo sucedido hoy en el #Congreso. Puedes no estar de acuerdo con muchas de sus actutudes, pero escupir al Ministro Borrell es, ahora si, una actitud fascista q no podemos tolerar @Pablo_Iglesias_</t>
  </si>
  <si>
    <t>https://pbs.twimg.com/media/Dsn9PSZWkAAgl4G.jpg</t>
  </si>
  <si>
    <t>Moderdonia</t>
  </si>
  <si>
    <t>Cabezón. Sense pàtria. Ideologia 99% Camino per l'esquerra. Alli me vereis. Sempre que hi hagi aigua em mullo. Harto de estar Harto de CatenComu, per ara</t>
  </si>
  <si>
    <t>Prosalus</t>
  </si>
  <si>
    <t>.@sanchezcastejon no hay @Agenda2030Esp ni @EspanaGlobal sin Cooperación genuina y de calidad. Aunque de momento no se la ve, sí la esperamos! @sanchezcastejon @Pablo_Iglesias_ ¿#CooperaPaCuando ?</t>
  </si>
  <si>
    <t>En Podemos los inscritos eligen a sus candidatos. Sois el alma de Podemos, porque Podemos es vuestra herramienta de cambio. En Podemos decides tú. 📩 Participa en los procesos de primarias abiertos:</t>
  </si>
  <si>
    <t>https://bit.ly/2PtmWdD</t>
  </si>
  <si>
    <t>https://primarias2019.podemos.info</t>
  </si>
  <si>
    <t>https://pbs.twimg.com/media/DshThzdWsAEMnz_.jpg</t>
  </si>
  <si>
    <t>Prosalus es una ONGD que trabaja desde 1985 por el derecho humano a la salud, a la alimentación y al agua en Perú, Bolivia y Mozambique.</t>
  </si>
  <si>
    <t>http://www.prosalus.es</t>
  </si>
  <si>
    <t>Coordinadora ONGD</t>
  </si>
  <si>
    <t>Aunque de momento no se la ve, sí la esperamos! @sanchezcastejon @Pablo_Iglesias_ #CooperaPaCuando ?</t>
  </si>
  <si>
    <t>elEconomista.es</t>
  </si>
  <si>
    <t>https://pbs.twimg.com/media/DshTX9dX4AApf98.jpg</t>
  </si>
  <si>
    <t>Cuenta oficial de la Coordinadora Estatal de ONG para el Desarrollo. 76 organizaciones y 17 Coordinadoras Autonómicas, presentes en más 105 países en el mundo</t>
  </si>
  <si>
    <t>http://www.coordinadoraongd.org</t>
  </si>
  <si>
    <t>pic.twitter.com/0OyyLmL2SV</t>
  </si>
  <si>
    <t>Cuenta oficial de elEconomista.es. Facebook http://www.facebook.com/elEconomista.es Gracias por compartir con nosotros.</t>
  </si>
  <si>
    <t>http://www.eleconomista.es</t>
  </si>
  <si>
    <t>#LaCafeteraDesCosido @radiocable @iescolar @pardodevera @jesusmarana @carnecrudaradio @JesusCintora @Pablo_Iglesias_ @agarzon Cuando el FASCISMO se apodera del congreso, el DEDO ACUSADOR del Poder @JosepBorrellF señala a aquellos que defienden la libertad @Esquerra_ERC VERGUENZA</t>
  </si>
  <si>
    <t>https://pbs.twimg.com/media/DshTCIcX4AEBjMB.jpg</t>
  </si>
  <si>
    <t>FuturoEnComun</t>
  </si>
  <si>
    <t>📌La política pública de cooperación española es fundamental y su degradación en cantidad y calidad debe revertirse. #Agenda2030 🧐Por eso preguntamos: sr @sanchezcastejon y sr. @Pablo_Iglesias_ , ¿#CooperaPaCuando? @JosepBorrellF @PSOE @ahorapodemos @PodemosCoopIn @Adrilastra</t>
  </si>
  <si>
    <t>https://pbs.twimg.com/media/DshSF1EW0AAY5PM.jpg</t>
  </si>
  <si>
    <t>Eduardoguillentablada66. Cubano y Español 100%.</t>
  </si>
  <si>
    <t>Lucia Martin, Diputada y portavoz de en Comu Podem Barcelona, "EN TRANCE". Fue quien acompañó a Pablo Iglesias en la visita a Oriol Junqueras a la Carcel, para negociar los Presupestos Españoles 2019. Que nivelazo verdad?. Así está la Política Española.</t>
  </si>
  <si>
    <t>Trabajamos para acabar con la pobreza y las desigualdades respetando los límites ambientales del planeta.</t>
  </si>
  <si>
    <t>http://futuroencomun.net</t>
  </si>
  <si>
    <t>pic.twitter.com/aHlmxeWSUP</t>
  </si>
  <si>
    <t>El concepto ideológico, Izquierda-Derecha es, Falso. En democracia los políticos son Perroflautas sinvergüenzas o gente con sentido común, con estos me quedo.</t>
  </si>
  <si>
    <t>Carlos Ávila Bacaico</t>
  </si>
  <si>
    <t>Impresionado por el gran nivel de análisis de tan "prestigioso" ¿periodista?. Hermann Tertsch cree que la monarquía sirve "para evitar que sea necesaria una guerra para impedir una dictadura de Pablo Iglesias"  vía @eldiarioes</t>
  </si>
  <si>
    <t>vía @elmundoes Negar tal perspectiva sería d NEGLIGENTES. @sanchezcastejon y @Pablo_Iglesias_ DEBEN limpiar la Administración d GASTOS INNECESARIOS y "cargarse" Instituciones INÚTILES. Sólo siendo EFICIENTES tendremos Estado d Bienestar. Viene "INVIERNO"</t>
  </si>
  <si>
    <t>https://www.elmundo.es/economia/macroeconomia/2018/11/21/5bf5301ae5fdeacb458b4570.html</t>
  </si>
  <si>
    <t>Palma de Mallorca</t>
  </si>
  <si>
    <t>Muy indignado. Terapìa: lectura y buena música.</t>
  </si>
  <si>
    <t>http://avilabacaicoa.blogspot.com</t>
  </si>
  <si>
    <t>Jaume Pascual Jorda</t>
  </si>
  <si>
    <t>Por casos de estos hay que prohibir los actos de enaltecimiento del franquismo y quitar las ayudas a la iglesia mientras permita estos actos. @desdelamoncloa @PSOE @sanchezcastejon @ahorapodemos @Pablo_Iglesias_ @agarzon</t>
  </si>
  <si>
    <t>https://www.publico.es/politica/20-n-espana-2018-exalta-franco-nombre-dios.html</t>
  </si>
  <si>
    <t>Alqueria d'Asnar</t>
  </si>
  <si>
    <t>http://www.dimonisrafolins.com</t>
  </si>
  <si>
    <t>Laura</t>
  </si>
  <si>
    <t>El acuerdo para #PGE2019 suscrito entre @PSOE y @U_Podemos no recoje ni una sola línea sobre #Cooperación para el Desarrollo. ¿A qué se debe @sanchezcastejon @Pablo_Iglesias_ ?</t>
  </si>
  <si>
    <t>Viviendo, aprendiendo, conociendo, perdiéndome, encontrándome. Vegetariana.</t>
  </si>
  <si>
    <t>⛔</t>
  </si>
  <si>
    <t>M.Carmen</t>
  </si>
  <si>
    <t>80 agentes y en Alerta 4. Mucha podredumbre. Iros de Cat y no nos salpiquéis. @sanchezcastejon @MonederoJC @Pablo_Iglesias_ @agarzon RT @RaholaOficial: Y mientras tanto...: "Cosidó destinó 80 agentes a espiar a Bárcenas y a rescatar documentos sensibles de Rajoy, Soraya, Arenas y Cospedal" "</t>
  </si>
  <si>
    <t>https://twitter.com/RaholaOficial/status/1064863273693138944
https://okdiario.com/investigacion/2018/11/20/cosido-destino-80-agentes-espiar-barcenas-rescatar-documentos-sensibles-rajoy-soraya-arenas-cospedal-3369837</t>
  </si>
  <si>
    <t>Indignada con el sistema y con mucha gente. Librepensadora. En contra de las injusticias.</t>
  </si>
  <si>
    <t>Pilar Villena</t>
  </si>
  <si>
    <t>Un 70% de recorte! Eso no es un recorte, es abandono. @sanchezcastejon @PSOE @ahorapodemos @Pablo_Iglesias_ , de nada vale vuestra palabra si luego nos cumplis con vuestros compromisos. #CooperaPaCuando #PGECoopera</t>
  </si>
  <si>
    <t>https://pbs.twimg.com/media/DshQY7AXQAAG_Oj.jpg</t>
  </si>
  <si>
    <t>cristina hernánz ase</t>
  </si>
  <si>
    <t>He añadido un vídeo a una lista de reproducción de @YouTube ( - El chalet de Pablo Iglesias).</t>
  </si>
  <si>
    <t>http://youtu.be/z_-EutmgmMA?a</t>
  </si>
  <si>
    <t>Un poco de todo. Activista, profe, malamadre, doctoranda...Interesada en DDHH, seguridad alimentaria, migración y consumo consciente</t>
  </si>
  <si>
    <t>He añadido un vídeo a una lista de reproducción de @YouTube ( - Carta a Pablo Iglesias de un 'gente normal'</t>
  </si>
  <si>
    <t>http://youtu.be/X0NDyPjkgCI?a</t>
  </si>
  <si>
    <t>A lo mejor, entre los gritos de "fascistas" y "golpistas" y el escupitajo fantasma a Borrell, se les olvida contarte que @Pablo_Iglesias_ ha propuesto a @sanchezcastejon que los 22.000 millones que nos costó Bankia sirvan para tener una banca pública como en Alemania u Holanda.</t>
  </si>
  <si>
    <t>ＫＡＲＩＹＡ @BGW</t>
  </si>
  <si>
    <t>Rosa Trenado</t>
  </si>
  <si>
    <t>Apoteósico @Pablo_Iglesias_ RT @Pablo_Iglesias_: El Gobierno del PP nacionalizó Bankia con el dinero de todos los españoles. ¿Qué sentido tiene privatizarla ahora que la hemos saneado? Lo sensato es que Bankia funcione como banca pública, al servicio de la ciudadanía. Así se lo he dicho a Pedro Sánchez en el Congreso 👇🏽</t>
  </si>
  <si>
    <t>Leo manga, fumo porros y esas cosas Cuenta de música: @SadSenki</t>
  </si>
  <si>
    <t>https://www.instagram.com/senkami_trash/?hl=es</t>
  </si>
  <si>
    <t>Extremeña de nacimiento, catalana de adopción, Bilbaina de corazón. Sin término medio, o me amas o me odias... Sonrian porque sí se puede!!</t>
  </si>
  <si>
    <t>Poletika</t>
  </si>
  <si>
    <t>👏La ciudadanía española es la segunda, tras la sueca, que más valora esta política pública. 👍Durante la crisis, el apoyo ciudadano ha aumentado un 45%. #CooperaPaCuando @sanchezcastejon @Pablo_Iglesias_ #PGECoopera</t>
  </si>
  <si>
    <t>Fer Barrio</t>
  </si>
  <si>
    <t>https://bit.ly/2Pu0lh0</t>
  </si>
  <si>
    <t>https://pbs.twimg.com/media/DsgSbYQWsAIASDX.jpg</t>
  </si>
  <si>
    <t>Colecciono mapas de metro. A veces saco fotos, también escribo. De la @uc3m. Aprendiendo en @europapress @epnacional</t>
  </si>
  <si>
    <t>https://www.linkedin.com/in/fernando-barrio-garcía-811b43167</t>
  </si>
  <si>
    <t>Herramienta de vigilancia, análisis y presión ciudadana 2.0. en políticas de lucha contra la pobreza y la desigualdad en esta XII Legislatura #poletika</t>
  </si>
  <si>
    <t>http://poletika.org</t>
  </si>
  <si>
    <t>Héctor Rivero García</t>
  </si>
  <si>
    <t>Tras años de caída en picado, la Política de Cooperación se encuentra en mínimos y a la cola de Europa. De 15 países ocupamos el puesto 14 #CooperaPaCuando #PGE2019  @sanchezcastejon @Albert_Rivera @Pablo_Iglesias_ @pablocasado_ @JoanTarda @AITOR_ESTEBAN</t>
  </si>
  <si>
    <t>https://bit.ly/2PYjPtE</t>
  </si>
  <si>
    <t>https://pbs.twimg.com/media/DshODxBXQAAAy7O.jpg</t>
  </si>
  <si>
    <t>Voy por la vida aprendiendo a ser feminista, acompañado de mis contradicciones e incoherencias, que son muchas, y apoyado en mis pocas certezas, que son fuertes</t>
  </si>
  <si>
    <t>AsociacionMSPE_Andalucía</t>
  </si>
  <si>
    <t>Interesante artículo para reflexionar sobre la discriminación que la propuesta #PermisosIgualesEIntransferibles supone para #FamiliasMonoparentales y sus niñxs #CuidadosEnIgualdad #IgualesEnDerechos #IgualTiempoEnFamilia @sanchezcastejon @Pablo_Iglesias_</t>
  </si>
  <si>
    <t>Malove.</t>
  </si>
  <si>
    <t>https://monomadrefeminista.wordpress.com/2018/11/20/__trashed/amp/#click=https://t.co/pGmOkIvaMN</t>
  </si>
  <si>
    <t>Vlld. España</t>
  </si>
  <si>
    <t>Delegación en Andalucía de la Asociación Madres Solteras por Elección. Trabajando en Red reivindicando nuestro modelo de familia.</t>
  </si>
  <si>
    <t>Vivir la vida a tope¡¡</t>
  </si>
  <si>
    <t>Julio García</t>
  </si>
  <si>
    <t>Pablo Iglesias es un oportunista de manual. Lleva años criticando la República y ahora que hay partidos netamente Republicanos que se presentan a las elecciones en Andalucia, resulta que Podemos también es republicano. No se lo creen ni ellos.</t>
  </si>
  <si>
    <t>Sindicato ASAE [AENA/Enaire]</t>
  </si>
  <si>
    <t>Buenos días Sr Presidente de @ENAIRE @pedrosaurag ¿Este asesor PPero de @anapastorjulian cuando va a ser CESADO?  CC: @abalosmeco @fomentogob @maherediadiaz @CesarJRamos @gpscongreso @PSOE @aena @Pablo_Iglesias_ @pascualsergio @felixaltafulla RT @SindicatoASAE: @sanchezcastejon el nuevo gobierno tendrá que explicar por qué una trabajadora técnica de @aena @enaire que es testigo en caso AENA de la #Gurtel ha sido cesada en su puesto sin motivo profesional alguno por un reconocido asesor de @anapastorjulian @idlserna y del @PPopular</t>
  </si>
  <si>
    <t>https://twitter.com/SindicatoASAE/status/1002518670223069184</t>
  </si>
  <si>
    <t>Puente Genil, España</t>
  </si>
  <si>
    <t>De izquierdas y Republicano. Protesto por lo que creo que tengo que protestar. Bloqueo a fanáticos de todo tipo, sobre todo a fascistas. Anticlerical. Apóstata.</t>
  </si>
  <si>
    <t>https://pbs.twimg.com/media/DqcFQ8AXgAApssB.jpg
https://pbs.twimg.com/media/DemntGzXUAAUnSw.jpg</t>
  </si>
  <si>
    <t>Si le damos RT "retweet" no significa que estemos de acuerdo solo significa difusion para el debate en la red</t>
  </si>
  <si>
    <t>Alternativa Sindical AENA/Enaire [ASAE] - Lo que nadie te cuenta de AENA y ENAIRE - 🛬🛫 Somos 7285+1747 trabajadores 👭👬👫 Creemos en lo público 💪🏿 España</t>
  </si>
  <si>
    <t>http://www.sindicato-asae.com</t>
  </si>
  <si>
    <t>Dallas Chilango</t>
  </si>
  <si>
    <t>Dice The Guardian que soy similar al Primer Ministro de Hungría, Viktor Orbán y lo opuesto a Pablo Iglesias, Secretario General de 'Podemos'... (Bendito sea Dios)</t>
  </si>
  <si>
    <t>https://pbs.twimg.com/media/Dsn6As_U8AEFBZh.jpg</t>
  </si>
  <si>
    <t>Acto en Sevilla día 24N a las 11:00/h con @Pablo_Iglesias_ @TeresaRodr_ @MailloAntonio @agarzon @pilartavora pilar González mari García Pepe chamizo @AdelanteAND con la gran actuación de la chirigota de vera Luque "No tengo el Congo pa farolillos" #AdelanteAndalucía</t>
  </si>
  <si>
    <t>Dallas, TX, USA</t>
  </si>
  <si>
    <t>Catholic, Pro-Life, Male, Conservative, Free Thinker, Sarcastic, Objective, No Filter, No Excuses. I tweet in English &amp; Spanish... y con mucho punto suspensivo!</t>
  </si>
  <si>
    <t>http://tusitala.tumblr.com/</t>
  </si>
  <si>
    <t>https://pbs.twimg.com/media/DshL85IWkAANdy2.jpg</t>
  </si>
  <si>
    <t>Carlos A. Madariaga</t>
  </si>
  <si>
    <t>#SesiónDeControl Aquí están los socios de @sanchezcastejon, Gabriel Rufián el expulsado, @Pablo_Iglesias_ el terrateniente, Torra el golpista, Puigdemont el huido y @ArnaldoOtegi el asesino. Mientras el fakepresi se agarra al puesto como una garrapata. #FelizMiércoles</t>
  </si>
  <si>
    <t>Gijón, España</t>
  </si>
  <si>
    <t>De que le sirve al hombre ganar el mundo si pierde su alma.</t>
  </si>
  <si>
    <t>José Hernando Sanz</t>
  </si>
  <si>
    <t>Lo que no acabo de entender, es que haya 1 pareja de GC permanente con la vigilancia de su vivienda. A quien teme? Entiendo que a los mismos que podemos temer los ciudadanos de a pie, por eso no pedimos protección. Hay que ahorrar @Pablo_Iglesias_ RT @Bribon1970: 🐻No se puede vender la piel del oso antes de cazarlo, y no diré que #Podemos está acabado ✔️Pero lo cierto es que PabLenin y su cuates del odio a España y a la legalidad cada vez movilizan menos perroflautas empoderadas 🤡La mentira tiene patas muy cortas</t>
  </si>
  <si>
    <t>https://twitter.com/Bribon1970/status/1065156739992076288
https://okdiario.com/espana/2018/11/21/podemos-cancela-gira-autobombo-ver-que-no-saldran-presupuestos-pactados-sanchez-3373253</t>
  </si>
  <si>
    <t>Aragón</t>
  </si>
  <si>
    <t>Jubilado</t>
  </si>
  <si>
    <t>JusticiayPaz España</t>
  </si>
  <si>
    <t>🤝El primer paso es cumplir los compromisos @PSOE @ahorapodemos Exigimos un 0,35% de la Renta Nacional Bruta para garantizar una Cooperación a la altura de los retos mundiales #CooperaPaCuando 🤔¿Algo que añadir? @sanchezcastejon @Pablo_Iglesias_</t>
  </si>
  <si>
    <t>Santiago Leon Garcia</t>
  </si>
  <si>
    <t>https://pbs.twimg.com/media/DshLTI-WoAAJbSU.jpg</t>
  </si>
  <si>
    <t>Si quieres la paz, trabaja por la justicia</t>
  </si>
  <si>
    <t>http://www.juspax-es.org</t>
  </si>
  <si>
    <t>Rivas-Vaciamadrid, España</t>
  </si>
  <si>
    <t>Sea Cortés, edúquese lo más que pueda y respete para que lo respeten</t>
  </si>
  <si>
    <t>Dos Hermanas FEMINISMO Podemos</t>
  </si>
  <si>
    <t>El agente castro-irano-chavista Pablo Iglesias ya firma los editoriales de EL PAIS. Siguiente paso, los Decretos Ley de su marioneta Sanchez. 🔗 0RW LO CIVIL Y LO POLITICO, LibertadConstituyente, ESTAR EN CAMPAÑA, separación de poderes, MANDATO IMPERATIVO,</t>
  </si>
  <si>
    <t>https://pbs.twimg.com/media/DshK_LhXcAAdO7d.jpg</t>
  </si>
  <si>
    <t>Hermanas...Somos guerreras, no? Pues vamos a dar mucha guerra. No nos van a callar y estaremos en cada ataque, juntas!!! ✊💜💜</t>
  </si>
  <si>
    <t>https://www.facebook.com/DosHermanasFeminismoPodemos/</t>
  </si>
  <si>
    <t>José Miguel Pardo</t>
  </si>
  <si>
    <t>https://pbs.twimg.com/media/DsgN_Y3WsAAbU0L.jpg</t>
  </si>
  <si>
    <t>en Valencia</t>
  </si>
  <si>
    <t>Biotecnólogo villenero que piensa que en la sociedad hay una carencia grave de cultura científica.Con cierta fobia al mainstream. Al grito de: I + D + i !!</t>
  </si>
  <si>
    <t>Pregunta @Pablo_Iglesias_ a @sanchezcastejon por Bankia. Nos gastamos 22.000M en rescatarla y 120.000M en ayudas indirectas. Lo sensato sería una banca pública que impulse la economía y un PSOE que no diga lo contrario a cuando estaba en la oposición.👏🏻👇</t>
  </si>
  <si>
    <t>Alfredo Comesaña</t>
  </si>
  <si>
    <t>Reflexiones en el borde de una piscina burguesa. Tribuna | ¿Para qué sirve hoy la monarquía?; por Pablo Iglesias  vía @el_pais</t>
  </si>
  <si>
    <t>https://pbs.twimg.com/media/Dsg2sy2XQAUUiAZ.jpg</t>
  </si>
  <si>
    <t>Vigo, España</t>
  </si>
  <si>
    <t>María Igartua</t>
  </si>
  <si>
    <t>Eoo señor @Pablo_Iglesias_ se ha olvidado de las Cajas de Ahorro...? Qué pasó? Caja Madrid?Q yo sepa a Santander, BBVA, Bankinter (banca privada) no las rescataron...Xo siga haciendo demagogia barata con la banca pública. X cierto, Bankia, Ramón Espinar...</t>
  </si>
  <si>
    <t>Movimiento Politico de Resistencia</t>
  </si>
  <si>
    <t>El suma y sigue de Pablo Iglesias lavando la cara al fascismo: “La monarquía sirvió para asegurar el paso de la dictadura a la democracia”.</t>
  </si>
  <si>
    <t>https://www.elconfidencial.com/empresas/2018-11-21/pedro-sanchez-bankia-publica_1659242/</t>
  </si>
  <si>
    <t>https://pbs.twimg.com/media/Dsn3wu4WwAIdFlD.jpg</t>
  </si>
  <si>
    <t>Redactora de Economía y Mercados en El Confidencial</t>
  </si>
  <si>
    <t>https://movimientopoliticoderesistencia.blogspot.com.es/</t>
  </si>
  <si>
    <t>http://www.elconfidencial.com</t>
  </si>
  <si>
    <t>John Miskelly</t>
  </si>
  <si>
    <t>Hola @Pablo_Iglesias_ Nosotros 'matched' en esta dating app hecho por @guardian. Si quieres podriamos tomar algo alguna vez? O en Madrid o aqui en Asturias? Llamame. Nos hablamos.  😍🥰🤪😚</t>
  </si>
  <si>
    <t>Immigrant. Surf kook. Poser. Short storiarista at http://razorcake.org. Generally out of my depth all the fucking time.</t>
  </si>
  <si>
    <t>🇪🇸 Jos_man 🇪🇸</t>
  </si>
  <si>
    <t>I SEE ⚡ THE SEA.</t>
  </si>
  <si>
    <t>Anda!! ¿Y esto, @Pablo_Iglesias_? ¿Cerrando boquitas? RT @BernaldoDQuiros: El Registro de Galapagar oculta lo datos del chalet de Iglesias por ser noticiable. La Jurisprudencia del Supremo señala que el derecho de información prevalece,</t>
  </si>
  <si>
    <t>https://twitter.com/BernaldoDQuiros/status/1064566711821770752</t>
  </si>
  <si>
    <t>Un Español, orgulloso de serlo, al que no le gusta el socialismo de ningún tipo 🇪🇸</t>
  </si>
  <si>
    <t>Si consigues un océano , dos velas y algo de viento, no echarás de menos tu hogar.</t>
  </si>
  <si>
    <t>J.Armando</t>
  </si>
  <si>
    <t>Aprended de nosotros y quererse como buenos hermanos @Santi_ABASCAL @Pablo_Iglesias_ #VivaLaPaz</t>
  </si>
  <si>
    <t>https://pbs.twimg.com/media/DshIWTTXgAA1fIS.jpg</t>
  </si>
  <si>
    <t>HUELVA CUNA DEL FUTBOL, ESPAÑA</t>
  </si>
  <si>
    <t>ESTUDIANTE DE HISTORIA EN LA UHU.REAL CLUB RECREATIVO DE HUELVA 🇪🇸🇪🇸🇪🇸</t>
  </si>
  <si>
    <t>Àngela Ballester</t>
  </si>
  <si>
    <t>Millones y millones de euros pagados por todos para sanear Bankia, un banco nacionalizado por el PP. ¿Qué sentido tiene privatizarla otra vez? @Pablo_Iglesias_ ha preguntado en la #SesiónDeControl. En un Gobierno progresista lo sensato sería tener una banca pública.</t>
  </si>
  <si>
    <t>https://pbs.twimg.com/media/DshHVt7XcAAnys_.jpg</t>
  </si>
  <si>
    <t>Bellreguard</t>
  </si>
  <si>
    <t>Historiadora. Valenciana. Mare de Dídac i Aimar. Diputada de @Podem_ al Congrés per València.</t>
  </si>
  <si>
    <t>http://podemos.info/</t>
  </si>
  <si>
    <t>Congreso</t>
  </si>
  <si>
    <t>#Galería El presidente del Gobierno, @sanchezcastejon, responde en la #SesiónDeControl a las preguntas formuladas por @pablocasado_, @Pablo_Iglesias_ y @carlescampuzano 📸</t>
  </si>
  <si>
    <t>http://bit.ly/FotonoticiaPleno21NOV</t>
  </si>
  <si>
    <t>https://pbs.twimg.com/media/DshF6UeWoAA_tll.jpg</t>
  </si>
  <si>
    <t>Juan A. Soto</t>
  </si>
  <si>
    <t>Perfil institucional del Congreso de los Diputados. También en 📸 http://Instagram.com/congreso_diputados y 📣 http://facebook.com/CongresodelosDiputados</t>
  </si>
  <si>
    <t>Muy interesante. Una reflexión predecible y errónea, pero interesante. Lo que más dice en todo esto es el tono que se le va poniendo a El País. Tribuna | ¿Para qué sirve hoy la monarquía?; por Pablo Iglesias  vía @el_pais</t>
  </si>
  <si>
    <t>http://www.congreso.es</t>
  </si>
  <si>
    <t>Enamorado. Conservador y —quizá por ello— revolucionario. Ciudadano del mundo y orgulloso de ser español. Devorador de libros. Encantado de vivir batallando.</t>
  </si>
  <si>
    <t>http://civismo.org</t>
  </si>
  <si>
    <t>Nacho Álvarez</t>
  </si>
  <si>
    <t>Debemos transformar Bankia en una verdadera banca pública, como la que existe en Alemania, Holanda o Francia. El Gobierno dispondría así de una herramienta para evitar que los bancos comentan más abusos: la competencia. @Pablo_Iglesias_ lo explica aquí 👇</t>
  </si>
  <si>
    <t>HELEN ن✌️</t>
  </si>
  <si>
    <t>https://pbs.twimg.com/media/Dsg5hOiU0AADQJF.jpg</t>
  </si>
  <si>
    <t>Profesor de Estructura Económica en la Universidad Autónoma de Madrid. Coautor de "Fracturas y Crisis en Europa". Secretario de Economía, Podemos.</t>
  </si>
  <si>
    <t>https://t.me/SecretariaDeEconomia</t>
  </si>
  <si>
    <t>“Una papeleta de voto es más fuerte que una bala de fusil.”  -Abraham Lincoln-</t>
  </si>
  <si>
    <t>Católica ✝️ practicante. NO al aborto NO a la eutanasia. SÍ a la vida. Simpatizante de #Vox 🇪🇸 Por lo tanto...FACHA, FACHA y mil veces FACHA!!! #EleccionesYa</t>
  </si>
  <si>
    <t>Supongo q @ahorapodemos apoyará a Rufián y @pnique echara pestes por su boca @Pablo_Iglesias_ defenderá a rufián claro y dirá d todo sobre la presidenta del congreso. Si no son españoles y no respetan nada q hacen en el Congreso está gente</t>
  </si>
  <si>
    <t>Roy Cobava</t>
  </si>
  <si>
    <t>Otro fallo del gráfico del populesmo del Guardian: Pablo Iglesias ¡a la derecha de Bernie Sanders! Vamos @Pablo_Iglesias_ tienes que currártelo más, que según los poletologos basados en datos te adelantan en un país sin sanidad universal. RT @zamartin: @ronanburtenshaw @jacobinmag Bernie Sanders, whose policy proposals are already the status quo in Spain, is uhhh not as far left as Pablo Iglesias either.</t>
  </si>
  <si>
    <t>https://twitter.com/zamartin/status/1065174486218092544</t>
  </si>
  <si>
    <t>Commentator · Policy Analysis · International Development · International Relations · Political Economy · MSc @LSEGovernment BSc @UniofBath #government #policy</t>
  </si>
  <si>
    <t>https://www.elsaltodiario.com/autor/roy-william-cobby</t>
  </si>
  <si>
    <t>Es indecente que Alcoa, una empresa que se ha beneficiado de cuantiosas ayudas públicas, deje en la calle a casi 700 trabajadores y trabajadoras en Galicia y Asturias sin que el Gobierno intervenga para evitarlo con todas las herramientas que tiene a su alcance.</t>
  </si>
  <si>
    <t>Miquel Roig</t>
  </si>
  <si>
    <t>Hoy, en otro episodio de #EsQueTeTienesQuéReír, @Pablo_Iglesias_ pide una banca públia (y que no se privatice Bankia) diciendo que en el test de estrés de la EBA 2018 los dos bancos con mejor nota son públicos. Por supuesto, esto es una media verdad o milonga, como prefieran 👇</t>
  </si>
  <si>
    <t>#Troikoficciones</t>
  </si>
  <si>
    <t>Papà. Periodista. Mallorquín expatriado. Corresponsal en Bruselas de @expansioncom. Bailinismo o barbarie. If there's a will, there's a way. Tuits en ES/CAT/EN</t>
  </si>
  <si>
    <t>http://www.amazon.es/Troikoficciones-historia-irreverente-rescates-europeos-ebook/dp/B016P6RBXQ/ref=</t>
  </si>
  <si>
    <t>Podemos Congreso</t>
  </si>
  <si>
    <t>🎥 Intervención completa de @Pablo_Iglesias_ en la #SesiónDeControl al Gobierno. 👉</t>
  </si>
  <si>
    <t>https://youtu.be/vqX67AnoYaM</t>
  </si>
  <si>
    <t>https://pbs.twimg.com/media/DshD6_RX4AAPyPv.jpg</t>
  </si>
  <si>
    <t>Toda la actualidad de PODEMOS en el Congreso</t>
  </si>
  <si>
    <t>https://podemos.info/</t>
  </si>
  <si>
    <t>San Carlos Borromeo</t>
  </si>
  <si>
    <t>Esto es intolerable Estan dando citas en asilo para 25 Noviembre de 2020 En este momento nos dirigimos a la oficina @DefensorPuebloE Alguien tiene que parar esta locura torturante!!! @PSOE @Pablo_Iglesias_</t>
  </si>
  <si>
    <t>El Periódico</t>
  </si>
  <si>
    <t>Centro Pastoral de Entrevías. Treinta años construyendo comunidad frente al miedo.</t>
  </si>
  <si>
    <t>"Hay una gran diferencia entre Pablo Iglesias y Gabriel Rufián. Las palabras que a veces escupe Iglesias son la inflamación de una reflexión política, en Rufián son las cenizas de una fanfarronería"</t>
  </si>
  <si>
    <t>http://sancarlosborromeo.org/</t>
  </si>
  <si>
    <t>http://elperiodi.co/jcpnz1</t>
  </si>
  <si>
    <t>https://pbs.twimg.com/media/Dsn0bCQXoAAO8cb.jpg</t>
  </si>
  <si>
    <t>Información, participación y conversación con El Periódico. 🗣️Si te interesa la política, síguenos en Telegram https://telegram.me/elperiodico</t>
  </si>
  <si>
    <t>http://www.elperiodico.com</t>
  </si>
  <si>
    <t>¿Cómo se podrán entender los españoles y las españolas si sus representantes en el @Congreso_Es se insultan y se escupen? @gabrielrufian @JosepBorrellF #SesionDeControl Y otros,.. No se mojan..@ahorapodemos @sanchezcastejon @Pablo_Iglesias_ Realmente dan ganas de votar 😭😭🤮🤮🤮</t>
  </si>
  <si>
    <t>‼️INMENSO @Albert_Rivera ‼️ 🗳👉🏻Propone un corte electoral del 3% para evitar espectáculos como el de ayer y que Rufián no humille a los españoles. 💥Menuda SOMANTA a Sánchez, Rufián y Pablo Iglesias ¡¡3 en 1!!</t>
  </si>
  <si>
    <t>Cat Vader</t>
  </si>
  <si>
    <t>Imán francés: “Las mujeres sin velo merecen ser violadas” ahora es cuando feministas y podemitas como ⁦@pnique⁩ ⁦@Pablo_Iglesias_⁩ , Lidia Falcon y Cris Almeida se lanzan a defender los derechos de la mujer o callan como lo que son</t>
  </si>
  <si>
    <t>https://somatemps.me/2016/10/16/iman-islamista-frances-las-mujeres-sin-velo-merecen-ser-violadas/</t>
  </si>
  <si>
    <t>Ricardo J. Garcia.'.</t>
  </si>
  <si>
    <t>No defiendo la monarquía pero usar a Pablo Iglesias cómo vocero resta valor y no suma nada a temas como la democracia, fraternidad, igualdad y privilegios... Está claro q voceros cómo PI ven los privilegios malos pero cuando no son ellos los privilegiados. RT @Irene_Montero_: La monarquía es hoy una institución que divide. España necesita más democracia, más fraternidad, menos privilegios para los de siempre, más igualdad. Es lo que escribe hoy @Pablo_Iglesias_ en este artículo👇🏽🗞 #ParaQuéSirveLaMonarquía</t>
  </si>
  <si>
    <t>Librepensador, políticamente incorrecto.</t>
  </si>
  <si>
    <t>Ingeniero Venezolano, amante de la vida y mi familia, progresista... Libertario, igualitario y fraternal...</t>
  </si>
  <si>
    <t>MAS Consulting</t>
  </si>
  <si>
    <t>Hoy en el @Congreso_Es: 🇪🇺 @ruanojavier pregunta por las “dudas” de Bruselas sobre los PGE. 🏦 @Pablo_Iglesias_ pregunta por los planes del Gobierno para Bankia. 🇬🇧 @JoseRa_Ghdez pregunta por el acuerdo para el Brexit. 📺 En directo:</t>
  </si>
  <si>
    <t>https://youtu.be/h6xzjxQTueE</t>
  </si>
  <si>
    <t>La firma de referencia en asuntos públicos. Desde hace 15 años protegemos su reputación y le ayudamos a ganar sus batallas legislativas, mediáticas o políticas.</t>
  </si>
  <si>
    <t>http://www.masconsulting.es</t>
  </si>
  <si>
    <t>Andrei Acosta</t>
  </si>
  <si>
    <t>Los medios de comunicación de Colombia están de lado de la corrupción, es buenos que países europeos se den cuenta de la realidad de lo que pasa en mi país! @Pablo_Iglesias_ @PSOE @BBCArabic RT @LuisErnestoGL: Los medios prepago y las encuestadoras prepago le están haciendo un gran daño a nuestra democracia. Si las grandes casas de medios no informan sino se dedican a proteger a los poderosos, las noticias falsas ganarán la batalla.</t>
  </si>
  <si>
    <t>https://twitter.com/LuisErnestoGL/status/1064988223989051393</t>
  </si>
  <si>
    <t>Abogado, Líder social y comunitario de Colombia humana 🇨🇴 Las izquierdas en el mundo buscan la igualdad y la dignidad.</t>
  </si>
  <si>
    <t>Felix diez gonzalez</t>
  </si>
  <si>
    <t>Publica hoy El Pais un artículo del dirigente Troskista Pablo Iglesias marqués de sierra Norte. Pues te lo digo en dos palabras para que nuestra querida España no se convierta en Venezuela, Corea del Norte o Irán si tu fueses Presidente</t>
  </si>
  <si>
    <t>mamen</t>
  </si>
  <si>
    <t>Un momento que echo un vistazo al congreso y es repugnante y vergonzoso la falta de respeto y educación. Estos políticos no pueden representar a un pueblo. @Pablo_Iglesias_ @agarzon @sanchezcastejon @pablocasado_ @Albert_Rivera</t>
  </si>
  <si>
    <t>Tribuna | ¿Para qué sirve hoy la monarquía?; por Pablo Iglesias  vía @elpais Que panfleto es @elpais? No me extraña que esté arruinado con semejantes colaboradores! Aparte de TV, ya tiene periódico!! Que os den....</t>
  </si>
  <si>
    <t>Ismael Ruiz</t>
  </si>
  <si>
    <t>No olvides @Pablo_Iglesias_ que el PSOE responde ante la banca de todo lo que hace, ya nos dejaron claro con el 135 que la gente es secundaria para ellos RT @ahorapodemos: 📽️ "Ahora que nos hemos gastado el dinero en sanear Bankia y ya está nacionalizada, porque lo hizo el PP. ¿Qué sentido tiene permitir que Bankia se privatice otra vez? En un Gobierno progresista lo sensato sería tener una banca pública". @Pablo_Iglesias_ en #SesiónDeControl</t>
  </si>
  <si>
    <t>https://twitter.com/i/status/1065161033898180611#SesiónDeControl</t>
  </si>
  <si>
    <t xml:space="preserve">Andalucía y Madrid </t>
  </si>
  <si>
    <t>Otro mundo es posible y necesario o nos extinguirá</t>
  </si>
  <si>
    <t>Salvador Enguix</t>
  </si>
  <si>
    <t>Cambios en la fecha de presentación del libro de @EnricJuliana y @Pablo_Iglesias_ "Nudo España", será el próximo 21 de diciembre en @LaNauuv y no este viernes 23 de noviembre. Esta es la nueva tarjeta de invitación.</t>
  </si>
  <si>
    <t>https://pbs.twimg.com/media/Dsg6fSWXgAASPF-.jpg</t>
  </si>
  <si>
    <t>LaTierraDeLosJuguetes</t>
  </si>
  <si>
    <t>La convivencia de la que usted habla en sus sermones, señor @Pablo_Iglesias es imposible y no por mi culpa o de los vecinos que estan estredados por esa falta de respeto.. Intente llevarselos a su casa y luego me dirá. SI NO SE VIVE, NO SE ENTIENDE. #DECRETOLEY YA. @JUSTICIAGOB RT @tierra_los:</t>
  </si>
  <si>
    <t>https://twitter.com/tierra_los/status/1065615723102298112
https://www.pscp.tv/w/bsa3GTF4a1FETVdaZ3lYS3p8MXZBeFJ5bGRRTE5KbP6TvrWmZFA2xoe0vQ8xOYlWohpG2nUxkE9TbEbKKwCH</t>
  </si>
  <si>
    <t>Periodista de La Vanguardia, Doctor en Comunicació i profesor associat de Periodisme a la UV http://blogs.lavanguardia.com/valencia</t>
  </si>
  <si>
    <t>Amo la naturaleza y los animales.. LUCHADOR, con corazón y denunciando lo que la ley permite.</t>
  </si>
  <si>
    <t>buenppero</t>
  </si>
  <si>
    <t>Esta el congreso hoy a caldo 😂😂😂 @Albert_Rivera @sanchezcastejon @Pablo_Iglesias_</t>
  </si>
  <si>
    <t>D derechas,Pijo, Ideologo, Inspirador del PP, Yo le dije Aznar que se afeitara el Bigote, Bisnieto del Padre del Capitalismo Neoliberal Salvaje. Viva Espana!!!</t>
  </si>
  <si>
    <t>Pablo Iglesias y su medio correveidile frentepopulista ponen en duda a la monarquía. La monarquía, junto a la justicia, sirven para parar los pies a los socialistas y comunistas que pretenden implantar la dictadura que ya intentaron en el 36.</t>
  </si>
  <si>
    <t>Germán Picazo</t>
  </si>
  <si>
    <t>Bueno y que opinan más altas esferas de la política del artículo 13?  || @Pablo_Iglesias_ @sanchezcastejon @pablocasado_ @agarzon @Albert_Rivera @ahorapodemos @PPopular @PSOE @CiudadanosCs @iunida @vox_es #SaveYourInternet</t>
  </si>
  <si>
    <t>https://www.youtube.com/saveyourinternet/?dclid=CNSW9auH5d4CFc_N3godI1MIEw</t>
  </si>
  <si>
    <t>Asesino implacable de moscas. Devorador vocacional de alitas de pollo. Conquistador de cosos y caballero a tiempo parcial.</t>
  </si>
  <si>
    <t>http://serbanx.deviantart.com/</t>
  </si>
  <si>
    <t>📽️ "Ahora que nos hemos gastado el dinero en sanear Bankia y ya está nacionalizada, porque lo hizo el PP. ¿Qué sentido tiene permitir que Bankia se privatice otra vez? En un Gobierno progresista lo sensato sería tener una banca pública". @Pablo_Iglesias_ en #SesiónDeControl</t>
  </si>
  <si>
    <t>Juan Casamayor</t>
  </si>
  <si>
    <t>Entrevista a Pablo Iglesias. Presupuestos 2018, jueces, Airbus, etc.  vía @YouTube</t>
  </si>
  <si>
    <t>https://youtu.be/RO3D17itzo0</t>
  </si>
  <si>
    <t>Tarjetas Rojas Airbus</t>
  </si>
  <si>
    <t>máxima que me mantiene vivo PREFIERO MORIR DE PIE QUE VIVIR SIEMPRE ARRODILLADO luchador incansable contra las desigualdades, corruptos y pobreza del mundo</t>
  </si>
  <si>
    <t>Ayer estuvimos en Illescas, apoyando a nuestros compañeros en Illescas, donde estuvieron @Pablo_Iglesias_ y @Alber_Canarias , que dieron visibilidad a los huelguistas.</t>
  </si>
  <si>
    <t>https://pbs.twimg.com/media/Dsg1Pz7XgAArE1H.jpg</t>
  </si>
  <si>
    <t>Subcontratadas unidas contra la precariedad en Airbus. tarjetasrojasairbus@gmail.com Más información en: http://tarjetasrojasairbus.wordpress.com</t>
  </si>
  <si>
    <t>El Iconomista</t>
  </si>
  <si>
    <t>50.000€ al año + 30% de Seguridad Social nos cuesta a los madrileños este "genio" de la Economía, asesor de @ManuelaCarmena que cree que la "hucha" de las pensiones es un cerdito de cerámica con moneditas. Sí, se puede ! @AhoraMadrid Cc @MADRID @ierrejon @Pablo_Iglesias_</t>
  </si>
  <si>
    <t>Jota POV</t>
  </si>
  <si>
    <t>Hermann Tertsch carga de nuevo contra Pablo Iglesias (y contra Cristina Fallarás).</t>
  </si>
  <si>
    <t>https://pbs.twimg.com/media/Dsgy6BzWwAEDMC9.jpg</t>
  </si>
  <si>
    <t>https://jotapov.com/2018/11/22/hermann-tertsch-carga-de-nuevo-contra-pablo-iglesias-y-contra-cristina-fallaras/</t>
  </si>
  <si>
    <t>https://pbs.twimg.com/media/DsntTtbVYAArDt_.jpg</t>
  </si>
  <si>
    <t>La soberanía nacional recae en el pueblo durante 12h cada 4 años. Fuera de ese tiempo colocan a sus amigos, nos crujen a impuestos y actúan a nuestras espaldas.</t>
  </si>
  <si>
    <t>Youtuber, pantuflólogo con certificado oficial. Editor de chorradas sensatas en forma de simulación y vecino del que elige al alcalde en http://www.jotapov.com</t>
  </si>
  <si>
    <t>https://www.youtube.com/channel/UC2OPRvShCwMeO__KHVyPl9w?sub_confirmation=1</t>
  </si>
  <si>
    <t>Miguel Navarro</t>
  </si>
  <si>
    <t>Lucía</t>
  </si>
  <si>
    <t>Dice @Pablo_Iglesias_ que la banca pública es necesaria, en Europa funcionan pero aquí las cajas han sido saqueadas por todos los partidos políticos, sin distinción. Esto es España, donde muchos piensan que lo público es para robarlo.</t>
  </si>
  <si>
    <t>ignota universe</t>
  </si>
  <si>
    <t>Pablo Iglesias que no se pregunte #ParaQuéSirveLaMonarquía que se pregunte para que sirve él.</t>
  </si>
  <si>
    <t>https://pbs.twimg.com/media/DsntFwuXcAEap54.jpg</t>
  </si>
  <si>
    <t>#SesiónDeControl @Pablo_Iglesias_ pregunta a @sanchezcastejon, presidente del Gobierno, sobre los planes del Ejecutivo para Bankia 🔽</t>
  </si>
  <si>
    <t>La tarde de Dieter</t>
  </si>
  <si>
    <t>.@jg_dominguez : "Los antifranquistas más jóvenes tenemos casi 60 años. Lo que no puede ser es que gente como Pablo Iglesias, que nació 20 años después que yo, esté tan afectado por el franquismo".</t>
  </si>
  <si>
    <t>https://pbs.twimg.com/media/Dsgyn3SVsAA-eDU.jpg</t>
  </si>
  <si>
    <t>Programa de esRadio, de 16:00 a 19:00 de la tarde</t>
  </si>
  <si>
    <t>http://esradio.libertaddigital.com/es-la-tarde-de-dieter/</t>
  </si>
  <si>
    <t>Javier Marcos Angulo</t>
  </si>
  <si>
    <t>David N. Euyovikn</t>
  </si>
  <si>
    <t>Me parece ridículo q a estas alturas de película vendan la moto de la banca pública como panacea cuando las puñeteras cajas de ahorro lo eran y sólo sirvieron de chiringuitos politizados al servicio de las CCAA y partidos y q causaron la crisis bancaria en España @Pablo_Iglesias_</t>
  </si>
  <si>
    <t>Aprendiz de la vida, busco la verdad.</t>
  </si>
  <si>
    <t>http://javiermarcosangulo.blogspot.com.es</t>
  </si>
  <si>
    <t>Javitracus</t>
  </si>
  <si>
    <t>Pablo Iglesias o cualquier puto podemita de mierda. RT @LaFallaras: Si no condenas en fascismo, ¿qué eres? Si no condenas una dictadura, ¿qué eres? Si no condenas un régimen que asesinó a miles y miles de personas y torturó a otras tantas, ¿qué eres?</t>
  </si>
  <si>
    <t>@josPobleteBrav1</t>
  </si>
  <si>
    <t>Excelente @Pablo_Iglesias_ exponiendo en el Congreso sobre la Banca Pública y sus beneficios para la Ciudadanía...</t>
  </si>
  <si>
    <t>Elche</t>
  </si>
  <si>
    <t>Fernando Gutiérrez</t>
  </si>
  <si>
    <t>Una nueva república sin rey propone Pablo Iglesias, líder de Podemos, para salvar la unidad de España. RT @Julio_Rodr_: Hoy @Pablo_Iglesias_ reflexiona sobre #ParaQuéSirveLaMonarquía en una democracia avanzada. Queremos construir una España moderna a la altura de la ciudadanía del sigloXXI  Avanzar en democracia es avanzar en participación. Vota en</t>
  </si>
  <si>
    <t>Esposo, Papá, Profesor, Patiperro, Hijo de Agua Negra (Curicó), Boquerón (Málaga) y, por tanto, que más PODEMOS pedir en esta vida.....💜💜♎️♎️🚺</t>
  </si>
  <si>
    <t>https://twitter.com/Julio_Rodr_/status/1065623022835503111
https://elpais.com/elpais/2018/11/21/opinion/1542806031_921444.html
http://participa.podemos.info</t>
  </si>
  <si>
    <t>Lima, Peru</t>
  </si>
  <si>
    <t>Periodista y editor</t>
  </si>
  <si>
    <t>http://enfasisperu.blogspot.com</t>
  </si>
  <si>
    <t>Muten Master</t>
  </si>
  <si>
    <t>No se que espera @Pablo_Iglesias_ si pedro sanchez y el presidente son personas distintas, pues que haga cosas distintas. Que cosas tienes, pablo</t>
  </si>
  <si>
    <t>pareció una buena idea</t>
  </si>
  <si>
    <t>Ricardo</t>
  </si>
  <si>
    <t>Rafael Domingo *!</t>
  </si>
  <si>
    <t>.@Albert_Rivera es muy capaz de analizar políticamente a @Pablo_Iglesias_ o a @sanchezcastejon , pero @PepaBueno no le pidas "ese gran esfuerzo" con @Alternativa_VOX !!!</t>
  </si>
  <si>
    <t xml:space="preserve"> </t>
  </si>
  <si>
    <t>ESPAÑA🇪🇸REYNO DE VALENCIA: LA MALA INTENCIÓN QUÉ DA BUEN RESULTADO SE SUELE TENER POR VIRTUD. VCF🦇💯MI PASIÓN.</t>
  </si>
  <si>
    <t>Cuestionador de todos los actos de los individuos (empezando por mí mismo). Amante del debate de argumentos, y dado a la ironía...con perdón...</t>
  </si>
  <si>
    <t>Pedro Garcia (uruka)</t>
  </si>
  <si>
    <t>Esto si que es guay @Pablo_Iglesias_ y @gabrielrufian .. comunistas , asesinos y criminales marchando RT @GulagDark: Madre mía la Falange desfilando el 20-N dirección al Valle de los Caídos</t>
  </si>
  <si>
    <t>https://twitter.com/gulagdark/status/1064812975339569153</t>
  </si>
  <si>
    <t>pic.twitter.com/rBieiSlGqE</t>
  </si>
  <si>
    <t>Living in Barcelona, enjoy this life as much as i can ..</t>
  </si>
  <si>
    <t>http://vk.com/uruka</t>
  </si>
  <si>
    <t>Alberto</t>
  </si>
  <si>
    <t>¿Qué transparencia va haber en un comunista? pedir que @Pablo_Iglesias_ sea transparente es como pedir que un burro vuele. Nadie sensato tiene la más mínima duda que #PodemosEsChavismo #PodemosEsUnEngaño #PodemosOdiaEspaña Y sobre todo #PodemosDaAsco RT @BorbonicoI: ⭕ Cero en transparencia para Podemos: más de un año sin publicar sus gastos e ingresos. #ComunismoEsTotalitarismo #PodemosEsChavismo #EleccionesYa #EspañaLoPrimero #DefiendeEspaña #NoQueremosOtro36 pero #SiQuereisOtro36LoTendreis</t>
  </si>
  <si>
    <t>https://twitter.com/BorbonicoI/status/1064874263570722816
https://okdiario.com/espana/2018/11/18/cero-transparencia-podemos-mas-ano-sin-publicar-sus-gastos-ingresos-3360627#.W_JfjGWOKMI.twitter</t>
  </si>
  <si>
    <t>La vida es tan bonita que vale la pena disfrutarla: Nunca hay que perder la esperanza que mañana volverá a ser un día maravilloso.</t>
  </si>
  <si>
    <t>Fayaz Chagani</t>
  </si>
  <si>
    <t>https://www.theguardian.com/world/ng-interactive/2018/nov/21/how-populist-are-you-quiz?CMP=share_btn_tw</t>
  </si>
  <si>
    <t>El Washap de Cosidó debería enseñarse en las escuelas. (Lecciones sobre el fascismo y la separación de poderes) #Marchena #Justicia #PoderJudicial #jueces #LosDesayunos #FelizMiercoles #ElIntermedio #Cosidó @ahorapodemos @ALTER_info @Societatcc @Pablo_Iglesias_ @caval100</t>
  </si>
  <si>
    <t>Weston, Toronto</t>
  </si>
  <si>
    <t>Struggling father, student, teacher, leftist. Recovering westerner. I never finish anything.</t>
  </si>
  <si>
    <t>Xuanin</t>
  </si>
  <si>
    <t>Hola @Pablo_Iglesias_ retwitea esto si tienes huevos. RT @RFECaza: Aquí otro ejemplo de un cazador que se juega la vida por salvar a sus perros. Le duela a quien le duela esta es #LaVerdadDeLaCaza. Los perros son parte de nuestra de familia #laverdaddelperrodecaza ❤🐶🐕❤</t>
  </si>
  <si>
    <t>https://twitter.com/RFECaza/status/1064912318394449920</t>
  </si>
  <si>
    <t>pic.twitter.com/jpzSxFT2PB</t>
  </si>
  <si>
    <t>Por Asturies</t>
  </si>
  <si>
    <t>No te olvides de soñar. Nunca pierdas de vista tus raices. #AldeanuYOrgullosu #PuxaSporting AC/DC🤘🤘</t>
  </si>
  <si>
    <t>El Loko de Pitres</t>
  </si>
  <si>
    <t>Los “Clinton de Cádiz” no quieren saber nada de @Pablo_Iglesias_ ni de ⁦@Irene_Montero_⁩ no los quieren ver ni en pintura.</t>
  </si>
  <si>
    <t>https://amp.elmundo.es/andalucia/2018/11/21/5bf46ba046163f4da28b4607.html</t>
  </si>
  <si>
    <t xml:space="preserve">Sobre el oscuro abismo </t>
  </si>
  <si>
    <t>"El #Socialismo no procede del pueblo. Es una doctrina de "intelectuales" que tuvieron la arrogancia de creer que podrían planificar mejor la vida de todos"</t>
  </si>
  <si>
    <t>Yo soy la ley</t>
  </si>
  <si>
    <t>Vamos, que el ciudadano financie a los partidos políticos no se si es peor, ni un euro hombre, ¿para financiarte el casoplón si que pediste un crédito, no? No seas populista señor @Pablo_Iglesias_ RT @ahorapodemos: Los partidos políticos que financian sus campañas electorales gracias a los bancos, votan en contra de nuestra ley de impuesto a la banca. ¿Por qué será? 🤔</t>
  </si>
  <si>
    <t>https://twitter.com/ahorapodemos/status/1065135629909008384
https://www.publico.es/politica/pp-psoe-cs-tumban-congreso-impuesto-banca-propuesto.html</t>
  </si>
  <si>
    <t>Sonia Rivero</t>
  </si>
  <si>
    <t>😳😳😳 El grupo Prisa, los dueños del periódico El País, en el que Pablo Iglésias escribe artículos promoviendo el derrocamiento de la monarquía! RT @radioactivovel: @hermanntertsch Pues debemos entender q es lo q piensan sus bancos acreedores...</t>
  </si>
  <si>
    <t>https://twitter.com/radioactivovel/status/1065618520493473792</t>
  </si>
  <si>
    <t>https://pbs.twimg.com/media/DsnWYHQXoAEfoMY.jpg</t>
  </si>
  <si>
    <t>Cuanta hipocresía Podemos @Pablo_Iglesias_ @pnique, lo bueno para vosotros acabará, cuando haya elecciones generales, se os acabará el chollo. Nadie os creerá, os habéis convertido en"casta", el comunismo," todo para mi". Me imagino que los que os votaban lo pensarán antes. RT @lasvocesdelpue: Los andaluces suben, incluso, a las ventanas para seguir un acto de campaña electoral de @vox_es en #Cordoba y los discursos de los líderes de VOX Santiago Abascal, Javier Ortega y el candidato 'voxe' a la Junta de Andalucía el próximo 2 de diciembre, Francisco Serrano</t>
  </si>
  <si>
    <t>https://twitter.com/lasvocesdelpue/status/1065015422112727040</t>
  </si>
  <si>
    <t>pic.twitter.com/2C9zdvfosz</t>
  </si>
  <si>
    <t>Jesús Martín Gzlez</t>
  </si>
  <si>
    <t>(¿)Señor(?) @pnique: El único partido que tiene condenados por pegar a mujeres, es el suyo (Bódalo). El único partido cuyo secretario general azotaría a una mujer hasta que sangre, es el suyo (@Pablo_Iglesias_). Lo suyo sería ridículo si no fuese por lo grave de los hechos. RT @dexamina: El único partido que tiene a una persona condenada por pegar a una embarazada es Podemos. El único partido que tiene un secretario general que desearía azotar a una mujer hasta que sangrase es Podemos. A ver si eran votantes de Podemos, @pnique.</t>
  </si>
  <si>
    <t>https://twitter.com/dexamina/status/1064565274047913984
https://twitter.com/elespanolcom/status/1064484484404383747</t>
  </si>
  <si>
    <t>Ávila</t>
  </si>
  <si>
    <t>Secretario Sanidad de @nngg_es y Vicesec. Organización @nnggcyl Nuestras acciones definen lo que somos. Futuro médico.</t>
  </si>
  <si>
    <t>Hola @SanchezCastejon, a ver si hoy por ser mi #cumpleaños se digan usted a responder ¿lo de las elecciones lo va a mirar pronto o ya si eso lo que decida @pablo_iglesias_?</t>
  </si>
  <si>
    <t>https://pbs.twimg.com/media/DsN_6hqXQAELOpY.jpg</t>
  </si>
  <si>
    <t>Más comentados ahora en Izquierda/Centro Izqda.: ➀ @sanchezcastejon ↓ ➁ @boye_g ↓ ➂ @patricialopezl ↓ ➃ @agarzon ↓ ➄ @PPopular ↑ ➅ @JoanTarda ↑↑ ➆ @Pablo_Iglesias_ ↑↑ ➇ @susanadiaz ↑ ➈ @josebaazkarraga ↑↑ ➉ @PSOE ↓</t>
  </si>
  <si>
    <t>RSS_Noticias</t>
  </si>
  <si>
    <t>Hermann Tertsch cree que la monarquía sirve "para evitar que sea necesaria una guerra para impedir una dictadura de Pablo Iglesias" , en tendencia viral desde November 22, 2018 at 11:24AM</t>
  </si>
  <si>
    <t>http://bit.ly/2R1VbWh</t>
  </si>
  <si>
    <t>hola(@)josemanuelrodos.es</t>
  </si>
  <si>
    <t>Noticias más compartidas de medios españoles en tiempo real. Un proyecto de @josemanuelrodos en pruebas.</t>
  </si>
  <si>
    <t>Andres Nachon</t>
  </si>
  <si>
    <t>Claro @Pablo_Iglesias_ , imagino que cuando hablas de no ir a la cárcel por sus ideas, te faltó decir que esas ideas eran homicidas... pregunto: aprovechas para limpiar el nombre de algún familiar, tu sabes, alguien que haya asesinado por "sus ideas" .... ???</t>
  </si>
  <si>
    <t>https://pbs.twimg.com/media/Dsf7tsuWoAA5eaC.jpg</t>
  </si>
  <si>
    <t>O sieteno diya</t>
  </si>
  <si>
    <t>Para nada, por ejemplo. Para cumplir el legado del abuelo... Tribuna | ¿Para qué sirve hoy la monarquía?; por Pablo Iglesias  vía @el_pais</t>
  </si>
  <si>
    <t>Venezolanista 100%</t>
  </si>
  <si>
    <t>Orgulloso de nacer y ser hijo de Oregón. Agradecido de no haber nacido en Utah y ser un hijo de ...</t>
  </si>
  <si>
    <t>aikitwiter</t>
  </si>
  <si>
    <t>¡Bendita democracia! @PSOE @sanchezcastejon @ahorapodemos @Pablo_Iglesias_ @iunida @agarzon @eajpnv @iurkullu @PPopular @CiudadanosCs RT @TIP_RETURNS: Mmmmm... A ver si se me ocurre algo.... ¡Que los políticos se pongan a trabajar en cosas que nos permitan vivir mejor! Ah.. Que eso no es posible con esta 💩 de políticos... ¡Vaya por Dios! Pues vamos a desenterrar al Dictator Fascista que eso mola un huevo y a la gente “le pone”</t>
  </si>
  <si>
    <t>Sáez</t>
  </si>
  <si>
    <t>Jaja con razón odio a Pablo Iglesias. RT @CarlosLoret: ¿Qué tan populista eres? ⬇️</t>
  </si>
  <si>
    <t>https://twitter.com/TIP_RETURNS/status/1065000565569187842
https://twitter.com/oscardo78_oscar/status/1064998649187450880</t>
  </si>
  <si>
    <t>https://twitter.com/carlosloret/status/1065631465029947393
https://www.theguardian.com/world/ng-interactive/2018/nov/21/how-populist-are-you-quiz</t>
  </si>
  <si>
    <t>Tierra</t>
  </si>
  <si>
    <t>Libre pensador. ¡Que nuestro silencio no se convierta en enemigo!</t>
  </si>
  <si>
    <t>MBA. Especialista en Finanzas Corporativas y Dirección Estratégica de Marcas. Lic. Negocios Internacionales</t>
  </si>
  <si>
    <t>Esparroquí 💜🎗💜</t>
  </si>
  <si>
    <t>¿Hasta cuándo @Pablo_Iglesias_ vamos a sostener a un Gobierno de cartón que a la hora de la verdad vota con el PP y Cs? Yo ya no lo veo por ningún lado. 😏</t>
  </si>
  <si>
    <t>Resististán</t>
  </si>
  <si>
    <t>Pienso con mi Teclado, sin Filtros, con Criterios! Quien siembra miseria, no es el que siempre recoge su cólera! Creador de http://Casos-Aislados.com</t>
  </si>
  <si>
    <t>http://www.digo-yo.es/author/esparroqui/</t>
  </si>
  <si>
    <t>Betania</t>
  </si>
  <si>
    <t>Faltaron los parasitos ique asesores presidenciales, @ierrejon @MonederoJC @Pablo_Iglesias_ @alfreserramanci RT @Sangarccs: De esa cueva petrolera de Alí Babá no creo q haya un solo miembro del Foro de São Paulo que no haya agarrado una jugosa tajada, comenzado por Fidel Castro, Lula, los Kirchner, Ortega, Evo,Correa, Pepe Mujica y siga contando. No se salva nadie...</t>
  </si>
  <si>
    <t>https://twitter.com/Sangarccs/status/1065017467171495936
https://twitter.com/sangarccs/status/1065011761798135813</t>
  </si>
  <si>
    <t>En tu conciencia</t>
  </si>
  <si>
    <t>Orgullosamente Venezolano</t>
  </si>
  <si>
    <t>#Ilegalizacionpodemos OPORTUNISTAS INUTILES @AdaColau @ahorapodemos @AhoraMadrid @pnique @MiguelUrban @ionebelarra @agarzon @Irene_Montero_ @RamonEspinar @MonederoJC @TeresaRodr_ @JM_Kichi @Pablo_Iglesias_ @ierrejon @BeatrizTalegon @iunida @MayoralRafa @Elisendalamany @LaFallaras RT @CastigadorY: A Franco la izquierda debería haberle combatido cuándo estaba vivo y en el poder, de nada sirve pasear un cadaver 40 años después, aquellos que tienen que levantarse a las 6 de la mañana para trabajar o no llegan a fin de mes en lo que menos piensan es en donde descansa una momia</t>
  </si>
  <si>
    <t>https://twitter.com/CastigadorY/status/1064942722505736194</t>
  </si>
  <si>
    <t>Ponzán</t>
  </si>
  <si>
    <t>#Ilegalizacionpodemos INUTILES OPORTUNISTAS, FUERAAAA @ahorapodemos @AhoraMadrid @pnique @MiguelUrban @ionebelarra @agarzon @Irene_Montero_ @RamonEspinar @MonederoJC @TeresaRodr_ @JM_Kichi @Pablo_Iglesias_ @ierrejon @BeatrizTalegon @iunida @MayoralRafa @Elisendalamany @LaFallaras RT @danicaballero90: ¿Qué le parece a los españoles lo que se está organizando con respecto a la exhumación de los restos de Franco? Sublime explicación de @perezreverte que comparto en su absoluta totalidad.</t>
  </si>
  <si>
    <t>https://twitter.com/danicaballero90/status/1065025808266379264</t>
  </si>
  <si>
    <t>pic.twitter.com/Buj0BTwFMh</t>
  </si>
  <si>
    <t>Toulouse</t>
  </si>
  <si>
    <t>Rojinegro</t>
  </si>
  <si>
    <t>#Ilegalizacionpodemos IRRESPONSABLES @AdaColau @ahorapodemos @AhoraMadrid @pnique @MiguelUrban @ionebelarra @agarzon @Irene_Montero_ @RamonEspinar @MonederoJC @TeresaRodr_ @JM_Kichi @Pablo_Iglesias_ @ierrejon @BeatrizTalegon @iunida @MayoralRafa @Elisendalamany @LaFallaras RT @hermanntertsch: El mal es que se hayan callado tantas verdades y asumido tantas mentiras. Nunca se le ha dicho al líder del PSOE en las Cortes que sicarios de su antecesor en 1936 fueron a casa del líder de la oposición, Calvo Sotelo, y lo asesinaron. Por eso,asesinos tienen calles y monumentos.</t>
  </si>
  <si>
    <t>https://twitter.com/hermanntertsch/status/1065017342999044096</t>
  </si>
  <si>
    <t>AsociacionMSPE_ComunidadValenciana</t>
  </si>
  <si>
    <t>Así debería ser, permiso por familia, ningún menor se vería discriminado por tener #FamiliaMonoparental #IgualesEnDerechos #CuidadosEnIgualdad #DiaInternacionaldelaInfancia #DiaMundialdelosNino Los menores, primero. Son el futuro. @sanchezcastejon @Pablo_Iglesias_ @agarzon RT @Sevm85905886: Permiso por familia, no por progenitor, porque no en todas las familias hay dos. Mi hijo no es menos hijo, ni menos niño, ni menos futuro contribuyente por pertenecer a #FamiliaMonoparental #FamiliasMonoparentales #CuidadosEnIgualdad</t>
  </si>
  <si>
    <t>https://twitter.com/Sevm85905886/status/1064511864082759680</t>
  </si>
  <si>
    <t>𝐌𝐚𝐫𝐢𝐨 𝐒. 𝐀𝐫𝐬𝐞𝐧𝐚𝐥</t>
  </si>
  <si>
    <t>Un giro imprevisto de los acontecimientos me ha traído a una sala del Hemiciclo para asistir al Foro de Industrias Culturales. En la puerta me he cruzado con Pablo Iglesias y Martínez Maíllo. Todo lo que puedo deciros ahora es que jamás me había sentado en un sillón tan cómodo.</t>
  </si>
  <si>
    <t>Asociación de mujeres que hemos optado libremente por formar una #FamiliaMonoparental. Trabajamos en Red reivindicando nuestro modelo de familia 👩‍👧‍👦👩‍👧👩‍👧‍👧</t>
  </si>
  <si>
    <t>http://www.madressolterasporeleccion.org</t>
  </si>
  <si>
    <t>https://pbs.twimg.com/media/DsnmM7FWkAAa_u_.jpg</t>
  </si>
  <si>
    <t>Madrid | Firenze</t>
  </si>
  <si>
    <t>Hª Arte. Renacimiento italiano. Humanista, ágrafo, heterodoxo, polímata y bon vivant. Allí donde hay ruido no me encontraréis. Researcher 24/7.</t>
  </si>
  <si>
    <t>Latinoamericana</t>
  </si>
  <si>
    <t>http://arsenaldeletras.com</t>
  </si>
  <si>
    <t>#Glas1MesHuelgaDeHambre 🆘️¡El mundo debe reaccionar! @Pontifex_es @mbachelet @evoespueblo @RigobertMenchu @Almagro_OEA2015 @ONU_derechos @piedadcordoba @PrensaPEsquivel @atilioboron @evagolinger @Pablo_Iglesias_ @ahorapodemos @madueo @CFKArgentina @ActualidadRT @CIDH @CorteIDH RT @JorgeGlas: #Urgente| Norma Espinel, Madre de Jorge Glas, pide al mundo por la vida de su hijo quien cumple UN MES en huelga de hambre. Pedimos a organizaciones internacionales, medios y ciudadanos revisar el caso de Jorge, poco a poco su salud se está deteriorando. #Glas1MesHuelgaDeHambre</t>
  </si>
  <si>
    <t>https://twitter.com/JorgeGlas/status/1064929102719852544</t>
  </si>
  <si>
    <t>pic.twitter.com/PJoCYZkDCi</t>
  </si>
  <si>
    <t>Susana LV ✊</t>
  </si>
  <si>
    <t>Ostras ahora lo entiendo todo, Franco fue un visionario, sabía que nacería una persona llamada Pablo Iglesias, que iba a explosionar España, entonces nos puso al Rey, para que eso no ocurriera, hay que ver lo tonta y ciega que estado estos años 😵😵😵😵 RT @eldiarioes: Hermann Tertsch cree que la monarquía sirve "para evitar que sea necesaria una guerra para impedir una dictadura de Pablo Iglesias"</t>
  </si>
  <si>
    <t xml:space="preserve">Ecuador, América Latina </t>
  </si>
  <si>
    <t>Economista, Correísta, Guerrera de la Revolución Ciudadana, miembro de @GuerrerosDig_RC, promuevo Liderazgo Social Comunitari🇪🇨 ¡#LibertadParaJorgeGlas YA!</t>
  </si>
  <si>
    <t>Un accidente de tráfico lleva la tragedia a @ahorapodemos en Andalucía. Cuatro jóvenes, dos de ellos vinculados al partido de @Pablo_Iglesias_, fallecen en un accidente de tráfico en Úbeda</t>
  </si>
  <si>
    <t>Toledo ㋡</t>
  </si>
  <si>
    <t>Me gusta la Politica y soy Politicamente Incorrecta. Salud y Republica</t>
  </si>
  <si>
    <t>http://elperiodi.co/dbkmz3</t>
  </si>
  <si>
    <t>Álvaro Herraiz San Martín</t>
  </si>
  <si>
    <t>#20N ó #21N, no les da vergüenza, @PedrosanchezSg, @sorayasds, @Albert_Rivera o @Pablo_Iglesias_, estar discutiendo sobre en que huerta caerá el abono de la foto inferior y, ni palabra, que también le pertoca, @ManuelaCarmena, sobre cuándo comen y dónde duermen estxs señorxs?</t>
  </si>
  <si>
    <t>https://pbs.twimg.com/media/Dse19mrWwAAlTaL.jpg</t>
  </si>
  <si>
    <t>maria bernaola</t>
  </si>
  <si>
    <t>Embajadores, Madrid</t>
  </si>
  <si>
    <t>Castellana♜🔻Internacionalista ⚒Obrera ★Antifascista ♀Feminista Pro🌈LGTBIQ+ 🇹🇯Kurdistan✊فلسطين🇵🇸</t>
  </si>
  <si>
    <t>COMANDO SIRIUS</t>
  </si>
  <si>
    <t>No acostumbro a compartir estas informaciones. Aquí os dejo a PepeluSaliquet fuera de PepeluSaliquet 😂😂😂 Es @OrbitaEsduardo el simple. @RubenSanchezTW @McIslamofobia @destroyerdbaby @iescolar @SalmongAsno @CapitanApio @LaFallaras @Pablo_Iglesias_ Pero que #Tontako</t>
  </si>
  <si>
    <t>https://pbs.twimg.com/media/Dse1w2LXoAA72LE.jpg</t>
  </si>
  <si>
    <t>De estella en estrella y miles de Baia Baia a mi alrrededor.</t>
  </si>
  <si>
    <t>Alvaritoo</t>
  </si>
  <si>
    <t>Gracias a @sanchezcastejon Gracias a @Pablo_Iglesias_ .. esta renaciendo el Franquismo en el Pais, ... sigan así, veremos como acaba la cosa</t>
  </si>
  <si>
    <t>⚪Malagueño y sufridorMalaguista, Accionista del Málaga CF. Siempre de frente♣⭕</t>
  </si>
  <si>
    <t>Juan Luis Escudero</t>
  </si>
  <si>
    <t>Habrán visto estas imágenes @MonederoJC @Pablo_Iglesias_ @ierrejon @pnique @agarzon RT @TorresAren: EN #200AñosRepúblicaDeVenezuela NUNCA Se habían visto estás atrocidades como las que hace la GUARDIA NAZI-ONAL del DICTADOR NICOLÁS MADURO En el ESTADO FALCÓN VENEZUELA A los opositores alREGIMEN Y la comunidad internacional🤐 #21Nov #22Nov #FelizMiercoles</t>
  </si>
  <si>
    <t>Esta bueno, yo salí populista de izquierda similar a Pablo Iglesias (PODEMOS España) y menos similar a Trump! RT @JessicaWoolrich: Un ejercicio bastante interesante</t>
  </si>
  <si>
    <t>https://twitter.com/jessicawoolrich/status/1065629268237905923
https://www.theguardian.com/world/ng-interactive/2018/nov/21/how-populist-are-you-quiz</t>
  </si>
  <si>
    <t>Jorge</t>
  </si>
  <si>
    <t>Llegas a tu casa y Pablo Iglesias te propone matrimonio. ¿Aceptas?</t>
  </si>
  <si>
    <t>#IgualesEnDerechos #CuidadosEnIgualdad Es la hora de legislar para todos y todas... Las #FamiliasMonoparentales existimos y a nuestros hijos les estáis privando de un tiempo de cuidados que otros niños si van a disfrutar por el hecho de tener 2 progenitores. @Pablo_Iglesias_ RT @consullano1: Se reducirá la #brechasalarial y .. se discriminará en mayor grado a la mujer, madre en solitario, y a sus hijos que no tendrán el mismo tiempo de cuidados. #CuidadosEnIgualdad #IgualTiempoEnFamilia #FamiliasMonoparentales</t>
  </si>
  <si>
    <t>Madrid, Spain, European Union</t>
  </si>
  <si>
    <t>https://twitter.com/consullano1/status/1064596708112433156</t>
  </si>
  <si>
    <t>🏳️‍🌈L[G]TB. 🎮Gamer: Pokémon Master, LoL. 🔴YouTuber. 🔭🏛Physics, Politics. 📸Insta: @JotageLimon. 🏙Cuenta Profesional: @JorgeGarridoJGG. 🍋. 🇪🇺Europe.</t>
  </si>
  <si>
    <t>https://www.youtube.com/channel/UCk2gU-wuojnmpv-ITS9Wyng</t>
  </si>
  <si>
    <t>https://pbs.twimg.com/media/DsY1DsRXQAEGVYK.jpg</t>
  </si>
  <si>
    <t>Javier Enrique Pérez Orosa 🤴🏼</t>
  </si>
  <si>
    <t>#EquipoFranco @sanchezcastejon @PSOE @Pablo_Iglesias_ @ahorapodemos A ver si mañana proponen algo en el @Congreso_Es para q se devuelva íntegramente el archivo de la FNFF y los herederos del dictador devuelvan todo lo q no puedan demostrar ha sido adquirido legítimamente!!</t>
  </si>
  <si>
    <t>Santiago de Compostela, España</t>
  </si>
  <si>
    <t>Soñador 🛌, Cantante en la ducha 🚿, Amante de la vida 😋 y Estudiante de Medicina en la Universidad de Santiago de Compostela 👨‍⚕️</t>
  </si>
  <si>
    <t>https://www.facebook.com/profile.php?id=100007221527086</t>
  </si>
  <si>
    <t>francisco vieitez ga</t>
  </si>
  <si>
    <t>Supongo, que Pablo Iglesias y su colega Monedero, no verían el programa, Clandestino que dieron ayer en TV.donde sale lo mejor de la dictadura de Venezuela, secuestro extorsión asesinatos, en la idílica. Democracia de Maduro.</t>
  </si>
  <si>
    <t>Pobre Pinocho Al lado d Sánchez, es un cienhigos @PSOE @PPopular @CiudadanosCs @PodemosCongreso @Alvisepf @susanadiaz @sanchezcastejon @pablocasado_ @Pablo_Iglesias_ @NaveganteVicto1 @numer344 @FrayJosepho @JulioMurillo57 @TvPlataforma @VerdaderaIzqda @ElAguijon_ @LaPimpinelaEsc1 RT @jordi_canyas: La hemeroteca de este hombre es tremenda...</t>
  </si>
  <si>
    <t>https://twitter.com/jordi_canyas/status/1064607712988852232</t>
  </si>
  <si>
    <t>pic.twitter.com/Ikt1mhMm5N</t>
  </si>
  <si>
    <t>barcelona</t>
  </si>
  <si>
    <t>profesional del mundo del rotulo,señalizacion.</t>
  </si>
  <si>
    <t>Más q Guardia Civil</t>
  </si>
  <si>
    <t>Para qué sirve hoy la #monarquía? Según Pablo Iglesias . Una nueva república será la mejor garantía para una España unida sobre la base del respeto y la libre decisión de sus pueblos y sus gentes. #VivaElRey</t>
  </si>
  <si>
    <t>Andrés Sotomonte #SOSlas1000</t>
  </si>
  <si>
    <t>Nos queda menos de un mes para revertir la situación. Nuestro alcalde @jmorenogarcia no apoya a sus vecinos, está comprado por el fondo buitre #Fidere. @Pablo_Iglesias_ es necesario hacer algo con urgencia, nos echan. #SOSlas1000</t>
  </si>
  <si>
    <t>https://pbs.twimg.com/media/Dsnh_abWwAAaDZK.jpg</t>
  </si>
  <si>
    <t>pic.twitter.com/bnUj7zV52R</t>
  </si>
  <si>
    <t>Página no oficial para Simpatizantes, Guardias Civiles y Fuerzas y Cuerpos de Seguridad del Estado, siendo su único objetivo el valorar a este Cuerpo.</t>
  </si>
  <si>
    <t>https://www.facebook.com/M%C3%A1s-que-Guardia-Civil-733199796807699/</t>
  </si>
  <si>
    <t>Colombia</t>
  </si>
  <si>
    <t>Don't blame it on the sunshine</t>
  </si>
  <si>
    <t>PABLO</t>
  </si>
  <si>
    <t>Esto no saldrá en la tele! Y tampoco lo twitteara @PartidoPACMA ni tampoco lo hará @Pablo_Iglesias_ SI A LA CAZA. NO A LOS OPORTUNISTAS RT @RFECaza: Aquí otro ejemplo de un cazador que se juega la vida por salvar a sus perros. Le duela a quien le duela esta es #LaVerdadDeLaCaza. Los perros son parte de nuestra de familia #laverdaddelperrodecaza ❤🐶🐕❤</t>
  </si>
  <si>
    <t>https://twitter.com/rfecaza/status/1064912318394449920</t>
  </si>
  <si>
    <t>Rosa María</t>
  </si>
  <si>
    <t>#EquipoFranco si los archivos son públicos, por qué no hay una orden judicial que permita abrir la caja fuerte y analizar todos los papeles? @sanchezcastejon @Pablo_Iglesias_ @agarzon @EAJPNV_Congreso</t>
  </si>
  <si>
    <t>Pablo Iglesias solicita a Sánchez que descarte la privatización de Bankia: "Lo sensato es que Bankia funcione como banca pública", ha dicho el líder de Podemos</t>
  </si>
  <si>
    <t>http://bit.ly/2QWoKIK</t>
  </si>
  <si>
    <t>País Valencià</t>
  </si>
  <si>
    <t>https://pbs.twimg.com/media/DsnhwkOX4AEh7hs.jpg</t>
  </si>
  <si>
    <t>Espero de ❤️, que todos los políticos @sanchezcastejon @Pablo_Iglesias_ @pptrescantos @CsTresCantos tengáis una feliz Navidad🎄🎄 por que nosotros #SOSlas1000 las tenemos bien jodidas, por culpa de #Fidere #FondosBuitre que nos dejan en la calle</t>
  </si>
  <si>
    <t>vicent escrivà rosa</t>
  </si>
  <si>
    <t>pic.twitter.com/3H90rKZHmO</t>
  </si>
  <si>
    <t>almussafes</t>
  </si>
  <si>
    <t>http://www.facebook.com/vicentescriva</t>
  </si>
  <si>
    <t>La Brújula</t>
  </si>
  <si>
    <t>“La renuncia de Marchena ha ennoblecido la imagen del poder judicial. Y me alegra que @Pablo_Iglesias_ no esté de acuerdo conmigo en cuanto a separación de poderes”: @ChapuApaolaza #LaBrújulaConJuanraLucas</t>
  </si>
  <si>
    <t>https://pbs.twimg.com/media/DsekoN_WkAAIQqN.jpg</t>
  </si>
  <si>
    <t>Chico de los Martes</t>
  </si>
  <si>
    <t>Me ha gustado un vídeo de @YouTube ( - Pablo Iglesias: "La memoria histórica es la gasolina del futuro").</t>
  </si>
  <si>
    <t>La Brújula de Onda Cero, información y análisis de 20.00 a 23.30 horas. Con @JuanraLucas . Déjanos un mensaje de audio en el 608 962 492.</t>
  </si>
  <si>
    <t>http://youtu.be/kFH5l3IF8sk?a</t>
  </si>
  <si>
    <t>http://www.ondacero.es/programas/la-brujula/</t>
  </si>
  <si>
    <t>AYUDA, AYUDA, AYUDA @sanchezcastejon @Pablo_Iglesias_ los #FondosBuitre #Fidere nos dejan en la calle a #SOSlas1000 y se forran por el camino, esto pasa en #TresCantos , que gobierna el @pptrescantos</t>
  </si>
  <si>
    <t>Catalunya,España,UE?ViaLáctea!</t>
  </si>
  <si>
    <t>Politica✊&amp; Rock'n'Roll🎸, de eso van mis tuits: @LaBandaTraperaR, #CCOO, http://j.mp/MemòriaBLL❤💛💜 Y poder decir: he vivido. Voz 🎤+Harp en #TheWalterAppas. Love🏉!</t>
  </si>
  <si>
    <t>https://www.facebook.com/PolticaRnR/</t>
  </si>
  <si>
    <t>Las pelotas de goma están prohibidas en Cat. No cumplis las leyes. Esto no son fascistas, protegen la democracia con sus cuerpos. Los fascistas están impunes, la vergüenza de la UE. @sanchezcastejon @carmencalvo_ @Pablo_Iglesias_ @agarzon RT @sergipinkman: Momento exacto y desde diferentes ángulos en el que la @policia dispara a la cabeza de Roger Español durante el #1O -para que luego se ponga en duda. Un referéndum donde la gente fue a votar y no a la guerra, como otros. Le reventaron el ojo, lo tumbaron y siguieron disparando.</t>
  </si>
  <si>
    <t>https://twitter.com/sergipinkman/status/1064955281053007874</t>
  </si>
  <si>
    <t>https://pbs.twimg.com/media/Dsd6xTwXcAAjUvE.jpg</t>
  </si>
  <si>
    <t>No os escandaliza? Lo normalizais? Vaya con el cuerpo!! Para confiarles la seguridad. @sanchezcastejon va a hacer algo o lo tapamos con algo de Cat? @MonederoJC @Pablo_Iglesias_ @agarzon Váyanse de Cat !!! RT @BeatrizTalegon: Agentes de la Guardia Civil se beneficiaban de la "realización de actos sexuales gratuitos con mujeres en el interior del club" (mujeres explotadas sexualmente). “Como acto de cortesía” según esta noticia/.</t>
  </si>
  <si>
    <t>Luis.M</t>
  </si>
  <si>
    <t>https://twitter.com/BeatrizTalegon/status/1064986932747345921
https://m.publico.es/politica/2068966/proxenetismo-y-maltrato-la-fiscalia-niega-delito-y-fuerza-a-la-juez-de-carioca-a-archivar-una-pieza/amp?__twitter_impression=true</t>
  </si>
  <si>
    <t>Los datos que estaban esperando @Pablo_Iglesias_ @MonederoJC @pnique @ierrejon @agarzon Ole ese comunismo! RT @HistoriaEnFotos: Inflación, 2018: Venezuela: 200,000% Argentina: 34% Turquía: 24% Iran: 24% Ethiopia: 12% Nigeria: 11% Filipinas: 6.7% Pakistan: 5.1% México: 4.9% Brazil: 4.5% Vietnam: 4% India: 3.7% Rusia: 3.4% Indonesia: 2.8% UK: 2.7% US: 2.7% China: 2.3% EU: 2.1% Saudi: 2.2% Japón: 1.3%</t>
  </si>
  <si>
    <t>Por un mundo mas Libre y lleno de Igualdad .La Revolución es el Festival de los Oprimidos , la cultura es el poder del Pueblo. Ateo y mucha SALUD !!</t>
  </si>
  <si>
    <t>https://twitter.com/HistoriaEnFotos/status/1064990839598915589</t>
  </si>
  <si>
    <t>Joser</t>
  </si>
  <si>
    <t>Extremadura, España</t>
  </si>
  <si>
    <t>GOD'S IN HIS HEAVEN, ALL'S RIGHT WITH THE WORLD. BG&amp;E. Garupan. Videojuegos. Cómics y Series. Tanquista. Clone Trooper. AFOL. GIIIS EPCC.</t>
  </si>
  <si>
    <t>http://joserbala.tumblr.com</t>
  </si>
  <si>
    <t>Olguis</t>
  </si>
  <si>
    <t>#STOPIndultos mirando a otro lado, contribuímos a que gobiernen enriqueciendo solo a unos pocos. Ley del 2103 Art.18 anticonstitucional fomentando k fondos inversión #fidere negocien con vivienda pública. Responsables?@Pablo_Iglesias_ @SanchezCastejon</t>
  </si>
  <si>
    <t>Juan, el Vasco</t>
  </si>
  <si>
    <t>A la izquierda de Pablo Iglesias. No es un mérito. ¿Cuán populista sos? Por @guardian 👉</t>
  </si>
  <si>
    <t>https://bit.ly/2FyQ5j3</t>
  </si>
  <si>
    <t>pic.twitter.com/49zqwyby5c</t>
  </si>
  <si>
    <t>https://pbs.twimg.com/media/DsngVtwXcAEDFOp.jpg</t>
  </si>
  <si>
    <t>Luchando por lo que es justo</t>
  </si>
  <si>
    <t>https://twitter.com/MMartinEspin/status/1038777974517063681?s=19</t>
  </si>
  <si>
    <t>34°46′56″S 58°23′58″O</t>
  </si>
  <si>
    <t>Periodista. en @PopularDiario. Hincha de Temperley. Embajador de la República Popular de Lanús exiliado en Lomas de Zamora.</t>
  </si>
  <si>
    <t>📚 Lanzamos los Cuadernos de Formación 2018 de CELAG 📚 A cargo de @MashiRafael y docentes de nuestro equipo, la iniciativa contó con la presencia de @Pablo_Iglesias_ y @ernestosamperp Descarga el material de forma gratuita desde nuestra web 👇</t>
  </si>
  <si>
    <t>Antonio Orbe</t>
  </si>
  <si>
    <t>Tribuna | ¿Para qué sirve hoy la monarquía?; por Pablo Iglesias  Bastante de acuerdo</t>
  </si>
  <si>
    <t>Autor del libro Una mirada al futuro http://cerebroyordenador.blogspot.com.es/ Autor del blog Sinapsis. Cuentista en http://antonioorbe.blogspot.com/. Ex IBM</t>
  </si>
  <si>
    <t>http://sinapsis-aom.blogspot.com/</t>
  </si>
  <si>
    <t>Oops, @Pablo_Iglesias_ entrevistando a periodistas franquistas. Hace 2 semanas asistió al sarao del XX aniversario del diario proto-fascista La Razón. A este paso, lo acaba fichando Vox🙊</t>
  </si>
  <si>
    <t>https://pbs.twimg.com/media/DseXrIOWwAAeslm.jpg</t>
  </si>
  <si>
    <t>Solo un sinvergüenza podemita tergiversaría la historia como hace @Pablo_Iglesias_. 3 mentiras identificadas: 1. La tarjeta roja en Airbus no significa que tienes peor salario sino que eres subcontratista. No eres empleado de Airbus. Puedes cobrar más con tarjeta roja. RT @pnique: La política está bien sencilla últimamente. Hay partidos que van a echar gasolina en los conflictos entre los pueblos y hay partidos que se remangan para defender a la gente trabajadora cuando los poderosos la maltratan. Aquí @Pablo_Iglesias_ con los trabajadores de Airbus. 💪</t>
  </si>
  <si>
    <t>Asociación Whatever</t>
  </si>
  <si>
    <t>El tango Maureen!! 🎶🎵 Te lo vas a perder? El día 15 en el Pablo Iglesias no lo olvides!</t>
  </si>
  <si>
    <t>https://pbs.twimg.com/media/DsnfUSFX4AINSdu.jpg</t>
  </si>
  <si>
    <t>Alcobendas</t>
  </si>
  <si>
    <t>Asociación de teatro en Alcobendas, nací el 20 de octubre del 2012</t>
  </si>
  <si>
    <t>Rafael. S.</t>
  </si>
  <si>
    <t>Que no te engañe el @PSOE @susanadiaz y @sanchezcastejon ellos quisieran gobernar en todas parte con @Albert_Rivera y o con Podemos y @Pablo_Iglesias_</t>
  </si>
  <si>
    <t>R.D.</t>
  </si>
  <si>
    <t>Las consecuencias del asesoramiento a Maduro de Pablo Iglesias, Errejón, Echenique y Monedero las pagan los pobres venezolanos... El comunismo de PODEMOS es MISERIA PARA TODOS!! Lo demuestra cada día con sus actos y lo ha demostrado con lo que ha dejado en Venezuela... RT @cristiancrespoj: Qué tristeza! Uno siente estas ahogadas palabras de este estudiante venezolano. El Narcorégimen sigue destruyendo el futuro de #Venezuela, a los jóvenes y sus sueños. Y lo sigue haciendo porque es lo que quieren, destruir, hasta que no quede más que un país de muertos vivientes..</t>
  </si>
  <si>
    <t>"No ganes el mundo y pierdas tu alma, la sabiduría es mejor que la plata o el oro..." Bob Marley</t>
  </si>
  <si>
    <t>ANAGarcíaSandoval</t>
  </si>
  <si>
    <t>🔳#ElGordoDePodemos .@ahorapodemos 🔲 @CBescansa ya era burguesa cuando entró en #Podemos, Pablo Iglesias se ha hecho burgués a partir de su liderazgo impuesto por él mismo. El #NapoleónVioleta 🔳@Pablo_Iglesias_ solo impone su voluntad. #Martes 🔘Dentro Vídeo 👇👇</t>
  </si>
  <si>
    <t>pic.twitter.com/zFfVBaKyYM</t>
  </si>
  <si>
    <t>Socialista, de Izquierdas y roja. #NoEsNo al P.P #SiesSi al solialismo #BCMI #somosLaIzquierda Salud y República ❤️💛💜 #soyPucelana !</t>
  </si>
  <si>
    <t>JE</t>
  </si>
  <si>
    <t>Lo que no se ve de España... Así nos va que luego nos queremos ir... Alguna solución a esto? @sanchezcastejon @Albert_Rivera @Pablo_Iglesias_ (Los tiempos de ejecución de becas FPI y proyectos de investigación lo he vivido en persona y es muy triste) RT @CientificoenEsp: Esquema de los tempos de los proyectos de investigación del Ministerio (algo no acaba de cuadrar...).</t>
  </si>
  <si>
    <t>https://twitter.com/CientificoenEsp/status/1064884945783537664</t>
  </si>
  <si>
    <t>Antonio Miralles</t>
  </si>
  <si>
    <t>https://pbs.twimg.com/media/Dsc7BqhX4AA3xdm.jpg</t>
  </si>
  <si>
    <t>Alicante</t>
  </si>
  <si>
    <t>El último de la fila.</t>
  </si>
  <si>
    <t>David Avellaneda</t>
  </si>
  <si>
    <t>Hermann Tertsch cree que la monarquía sirve "para evitar que sea necesaria una guerra para impedir una dictadura de Pablo Iglesias" . Como se nota que sabe de lo que habla  vía @eldiarioes</t>
  </si>
  <si>
    <t>CReyna</t>
  </si>
  <si>
    <t>Gran descripción!!pero a estos infames Hay que señalarlos directamente: @ahorapodemos @Pablo_Iglesias_ @MonederoJC @ierrejon @CELAGeopolitica @UnidosPodemoSND @EuroPodemos @Podemos_AND @podemosmad @PodemosCongreso @PodemosCMadrid @ErWillyToledo @PoderCanaria RT @Andy66Warhol: La aparición de Podemos en política ha sido, con diferencia, lo peor en democracia. Organización comunista, antiespañola, sectaria, corrupta y criminal. Dirigida por gentuza, por hipócritas, demagogos, mentirosos, ruines, viles, llenos de rencor y maldad. Auténtica escoria</t>
  </si>
  <si>
    <t>https://twitter.com/andy66warhol/status/1064811987157336064</t>
  </si>
  <si>
    <t>Llegan tiempos de cambio.... pero algunas cosas nunca cambiarán</t>
  </si>
  <si>
    <t>El Nota</t>
  </si>
  <si>
    <t>No reirse de Pablo Iglesias, por favor #khaleesi RT @AlfonsoRojoPD: Muchas risas con el penúltimo esperpento podemita: un spot para pedir el voto para la Khaleesi andaluza</t>
  </si>
  <si>
    <t xml:space="preserve"> Venezuela</t>
  </si>
  <si>
    <t>Independiente luchando por un país libre y próspero lleno de justicia y progreso</t>
  </si>
  <si>
    <t>https://twitter.com/AlfonsoRojoPD/status/1065626190571020288
https://www.periodistadigital.com/politica/partidos-politicos/2018/11/22/spot-ridiculo-podemos-andalucia-adelante-teresa-rodriguez-khalesi.shtml</t>
  </si>
  <si>
    <t>Terrícola</t>
  </si>
  <si>
    <t>Los Angeles</t>
  </si>
  <si>
    <t>Empieza la manipulación bolivariana que Le gusta a @Pablo_Iglesias_, harán cosas parecidas en las generales, de ahí que quieran averiguar qué vota cada uno para impedir que ese día puedan hacerlo, hay que prepararse porque aquí no va a ocurrir, si no hay papeleta @guardiacivil RT @manuperez2002: Me parece raro que a menos de 15 días para votar, no he recibido mi tarjeta del censo electoral. Ahora leo esto y empiezo a atar cabos... Alguna explicación @AndaluciaJunta @PSOE Así también se empiezan a amañar elecciones.</t>
  </si>
  <si>
    <t>¡No soy Lebowski!. ¡Yo soy el Nota, tío!. Me gusta jugar a los bolos y poco más. Liberal. No soy un nihilista de esos. No soporto que se meen en mi alfombra.</t>
  </si>
  <si>
    <t>https://twitter.com/manuperez2002/status/1064935225812283394</t>
  </si>
  <si>
    <t>https://pbs.twimg.com/media/Dsdo7VSWwAczNNK.jpg</t>
  </si>
  <si>
    <t>Harto de hablar bien, a la mierda, hay que luchar, juntos. Para el islam el que los demás hayamos nacido no quiere decir que tengamos derecho a vivir.</t>
  </si>
  <si>
    <t>Naranjito 🍊</t>
  </si>
  <si>
    <t>#ParaQueSirveLaMonarquia “Creo que Felipe VI esta mejor valorado que Pablo Iglesias. No soy ‘sospechoso’ de ser un monárquico tradicionalista pero creo que el problema de España no es Felipe VI, es el populismo y el nacionalismo” @mejoreszasca ¯\_(ツ)_/¯</t>
  </si>
  <si>
    <t>pic.twitter.com/ANQHylu7NO</t>
  </si>
  <si>
    <t>Pat</t>
  </si>
  <si>
    <t>Es un detalle @Pablo_Iglesias_ en un día tan señalado #20DeNoviembre #20N 😂😂 RT @Markuslevel: Espectacular video de Pablo Iglesias tocando el temazo de su vida! Nunca en la vida lo hubiera imaginado! Lo toca a la perfección...</t>
  </si>
  <si>
    <t xml:space="preserve">Tabarnia </t>
  </si>
  <si>
    <t>“... cuando se lucha contra cualquiera de los avatares del totalitarismo hay que decidir si ser Chamberlain o Churchill” Etiam si omnes, ego non</t>
  </si>
  <si>
    <t>http://www.facebook.com/groups/yosoynaranjito</t>
  </si>
  <si>
    <t>https://twitter.com/markuslevel/status/1064928729674276865</t>
  </si>
  <si>
    <t>pic.twitter.com/7Y05p3lfmd</t>
  </si>
  <si>
    <t>DiegoFeliu</t>
  </si>
  <si>
    <t>"¿Para qué sirve hoy la monarquía?" Pablo Iglesias "¿Para qué sirve la república?" :)</t>
  </si>
  <si>
    <t>No me toques los tacones... sólo creo en el ATLETI 🔴⚪️ Conmigo quien quiera, contra mi quien pueda... ESPAÑOLA MUY ESPAÑOLA MUCHO ESPAÑOLA 🇪🇸🇪🇸 ⛔️🎗✊🏼👿</t>
  </si>
  <si>
    <t>Periodista desde 1983. Ha trabajado en Radio Exterior, El Mundo de Baleares, El Independiente, Europa Press, y ha colaborado en diarios digitales.</t>
  </si>
  <si>
    <t>http://www.tablondenoticias.com</t>
  </si>
  <si>
    <t>Iván Román (Pinoso)ن</t>
  </si>
  <si>
    <t>Omo sea como el acuerdo con los indepes y Pablo Iglesias para los presupuestos apañados vamos... España y Reino Unido cierran un preacuerdo sobre Gibraltar</t>
  </si>
  <si>
    <t>Jose Maria</t>
  </si>
  <si>
    <t>Como @Pablo_Iglesias_ cuando quería azotar a una presentadora o los que les pegaron a las novias de los GC en Aldasua RT @Bilbaina27: ¿Mujeres indefensas? Le recuerdo "señor" @pnique que su amigo y compañero Bódalo, le pegó a una mujer embarazada, esa sí que estaba indefensa y no esa "manada" de energúmenas enseñando sus miserias. Siguiiiiiiieeeeeteeeeee 🙄🙄🙄</t>
  </si>
  <si>
    <t>https://www.larazon.es/espana/espana-y-reino-unido-cierran-una-preacuerdo-sobre-gibraltar-LG20628434</t>
  </si>
  <si>
    <t>https://twitter.com/bilbaina27/status/1064591150542143489
https://twitter.com/pnique/status/1064452020613062658</t>
  </si>
  <si>
    <t>Pinoso (Alicante)</t>
  </si>
  <si>
    <t>Pinoso (Alicante) Químico, Tecnólogo en Alimentos. DEA en Q Analítica, Nutrición y Bromatología. MSc Oenology, R&amp;D Chemistry, Envir, Water, Food &amp; Material Sci</t>
  </si>
  <si>
    <t>http://es.linkedin.com/pub/iv%C3%A1n-pablo-rom%C3%A1n-falc%C3%B3/34/4a4/23b</t>
  </si>
  <si>
    <t>Joseba Mirena</t>
  </si>
  <si>
    <t>El debate de la banca pública: "Los bancos más solventes de Europa son públicos, pero más parecidos al ICO que a Bankia" -Pablo Iglesias se sirve de los resultados de dos bancos públicos en los test de estrés europeos para defender el uso de Bankia como banco público en España</t>
  </si>
  <si>
    <t>https://pbs.twimg.com/media/Dsna9gRXcAAYbUJ.jpg</t>
  </si>
  <si>
    <t>Romeo Rainbow</t>
  </si>
  <si>
    <t>Legalización. @sanchezcastejon @Pablo_Iglesias_ RT @A3Noticias: Abren las primeras tiendas de marihuana en la costa este de EEUU y uno de los primeros compradores es... un alcalde</t>
  </si>
  <si>
    <t>La anarquía es la más alta expresión del orden. Nací ácrata y moriré ácrata. Si me pones en "pendiente" y me doy cuenta, te bloqueo de inmediato</t>
  </si>
  <si>
    <t>https://twitter.com/A3Noticias/status/1064975166021804032
http://atres.red/rinri1</t>
  </si>
  <si>
    <t>Madrid, Capital del Mundo.</t>
  </si>
  <si>
    <t>Experto en fracasos.</t>
  </si>
  <si>
    <t>Jodemos Castro Urdia</t>
  </si>
  <si>
    <t>Constitución Pudremita: Artículo 1: Pablo Iglesias es el presidente perpetuo de España. Artículos siguientes: En caso de cualuqier duda, consúltese el artículo 1, o consúltese al presidente. FIN.</t>
  </si>
  <si>
    <t>https://okdiario.com/espana/2017/08/15/podemos-propondra-cambiar-constitucion-asamblea-bolivariana-1235964?fbclid=IwAR1gzEucWEqXGg8cVgYSjh2NCEyjeiByoxFoR9TwgO7iM7pnIBZBzE6K5Lo#.W-iCB9Nem2Z.facebook</t>
  </si>
  <si>
    <t>Jubeir Cristina</t>
  </si>
  <si>
    <t>MÁXIMA DIFUSIÓN! @ahorapodemos @Irene_Montero_ me vas a denunciar por ésto? @Pablo_Iglesias_ @sanchezcastejon tus amigos @okdiario @elmundoes @Albert_Rivera @abc_es @ElCascabelTRECE @Santi_ABASCAL @pablocasado_ 👎 @MonederoJC @pnique Barrio Salamanca @TRECEAlDia @EspejoPublico</t>
  </si>
  <si>
    <t>Castro-Urdiales, España</t>
  </si>
  <si>
    <t>Pudremitas, no nos exterminaréis</t>
  </si>
  <si>
    <t>pic.twitter.com/ee7D3q2jfK</t>
  </si>
  <si>
    <t>http://jodemoscastrourdiales.ml</t>
  </si>
  <si>
    <t>@DIKIssTV @DMAX_es @CineTRECEtv @ELCadcabelTRECE @NatGeoEsp @abc_es @TDTNeox @AdelAljubeir @CanaldeHistoria @Frank_Cuesta (TORPE CON TECLADO, sorry)</t>
  </si>
  <si>
    <t>VitØ</t>
  </si>
  <si>
    <t>Una pregunta @Pablo_Iglesias_ e @Irene_Montero_ . ¿Se ve bien el Valle de los caidos desde el chalete de Galapagar? ...#EnterrarElFranquismo @ahorapodemos</t>
  </si>
  <si>
    <t>Identitario Español Antiglobalización. Socio del Real Madrid. Economista. Trader. " 1,618 " La divna proporción, el número de los dioses. Ø PHI.</t>
  </si>
  <si>
    <t>Pablo Iglesias, actor de la revolución pendiente de la Falange 🌍 VenezuelaLibre, 📡 PRINCIPIO DE MEDIACIÓN,</t>
  </si>
  <si>
    <t>https://goo.gl/4yD5zn?laz46=2977268224</t>
  </si>
  <si>
    <t>patricia subires</t>
  </si>
  <si>
    <t>Pobre señora!! Mira @Pablo_Iglesias_ 🤣🤣🤣 RT @ccifuentes: La plaza de Colón inundada. Los peatones no podemos pasar... ¿Nadie del ayuntamiento de Madrid se ocupa de esto?</t>
  </si>
  <si>
    <t>https://twitter.com/ccifuentes/status/1064846318798032896</t>
  </si>
  <si>
    <t>pic.twitter.com/5W7zI7kkUv</t>
  </si>
  <si>
    <t>L'Hospitalet de Llobregat, Cataluña</t>
  </si>
  <si>
    <t>El gobierno @sanchezcastejon @Pablo_Iglesias_ debería para siempre acabar con todo lo que signifique franquismo y devolver a los ciudadanos la confianza en jueces y policía porque sin eso todo lo que hagan estará incompleto ya está bien de ser Europeos de tercera y una vergüenza</t>
  </si>
  <si>
    <t>https://pbs.twimg.com/media/DseKTPEWoAA6DCD.jpg</t>
  </si>
  <si>
    <t>Chris Candidovsky 🇩🇪</t>
  </si>
  <si>
    <t>No al artículo 58 bis de la futura Ley de Protección de Datos. Gracias a este artículo: a) Los partidos políticos tendrán acceso a nuestro sesgo ideológico. b) Nos bombardearán por Redes Sociales con publicidad electoral “individualizada” Qué habéis hecho @Pablo_Iglesias_</t>
  </si>
  <si>
    <t>pic.twitter.com/7qi2oj0T93</t>
  </si>
  <si>
    <t>Hamburg, Deutschland</t>
  </si>
  <si>
    <t>Schriftsteller &amp; Kreativabteilung 👨🏻‍💻⌨️📝 „Dinge sind nur so lange unmöglich, bis sie es nicht mehr sind“ (Jean Luc Picard)</t>
  </si>
  <si>
    <t>Pedro Oliva</t>
  </si>
  <si>
    <t>Sergio Ramos no sabe porque su mujer Pilar se apellida Rubio si es morena. Alfonso Rojo es facha y Pablo Iglesias comunista, a ver cómo le explicamos esto..</t>
  </si>
  <si>
    <t>Crimea</t>
  </si>
  <si>
    <t>euroescoba</t>
  </si>
  <si>
    <t>Anda. @sanchezcastejon @Pablo_Iglesias_ RT @ChonRoldanP: ¡¡ZASCA DESCOMUNAL¡¡Albert RIVERA a PODEMOS y PSOE: "¿Ustedes INDULTARÍA...  vía @YouTube #StopIndultos ???</t>
  </si>
  <si>
    <t>Manuel Ordoñez Piperona</t>
  </si>
  <si>
    <t>Borrel,viejo carca,de la camada de González,Bono e Ibarra,¿Que coño de socialismo es este? Yo me apeo. Pablo Iglesias,Lafargué,Besteiro.....hay que creer en la reencarnación</t>
  </si>
  <si>
    <t>https://twitter.com/ChonRoldanP/status/1064962596921622540
https://youtu.be/juba6tfIxxs</t>
  </si>
  <si>
    <t>El Padrun, Republica Federal</t>
  </si>
  <si>
    <t>🌈Ferviente defensor de los derechos humanos.🌈</t>
  </si>
  <si>
    <t>Kei</t>
  </si>
  <si>
    <t>Just another wandering soul. 🌌♏ L ☹️ V E @padlockeid</t>
  </si>
  <si>
    <t>Эдвард</t>
  </si>
  <si>
    <t>https://pbs.twimg.com/media/DseIbHBXcAAWy79.jpg</t>
  </si>
  <si>
    <t>Jaja</t>
  </si>
  <si>
    <t>yo he venido aquí a contar mis mierdas // Tengo un instagram de dibujos compradme dibujos va que tengo que comer</t>
  </si>
  <si>
    <t>https://www.instagram.com/leon.illustration/</t>
  </si>
  <si>
    <t>Delegación Gobierno en Tabarnia</t>
  </si>
  <si>
    <t>Se llama @Pablo_Iglesias_, viene de una familia muy acomodada. Se ha hecho todavía más rico a costa de la política (ya es parte del 10% más rico de toda España según datos de renta de Eurostat) y afirma hablar en nombre de 'los de abajo' contra la casta de 'los de arriba'.</t>
  </si>
  <si>
    <t>https://pbs.twimg.com/media/DseHYo9WkAA3Akx.jpg</t>
  </si>
  <si>
    <t>Tabarnia: Barcelona+Tarragona</t>
  </si>
  <si>
    <t>Delegación Gobierno de España en la C.A. de Tabarnia 🇪🇸+=+=🇪🇸 La Primera C.A. española del Siglo XXI. #Tabarnia en el corazón</t>
  </si>
  <si>
    <t>Luís</t>
  </si>
  <si>
    <t>Porque este @Pablo_Iglesias_ y este @sanchezcastejon aborrecen tanto a España como ellos No sé porqué lo preguntas Albert 😃 RT @Albert_Rivera: 🏛 Una nación decente no promete ni regala impunidad a quienes intentan liquidar la democracia. Señores del PSOE y de Podemos, ¿ustedes hubieran indultado a Tejero? Nosotros nunca. ¿Por qué quieren indultar a los golpistas separatistas? #STOPIndultos</t>
  </si>
  <si>
    <t>https://twitter.com/Albert_Rivera/status/1064950502423740417</t>
  </si>
  <si>
    <t>Pili Orellana</t>
  </si>
  <si>
    <t>https://pbs.twimg.com/media/Dsds1VLXcAA3Ud5.jpg</t>
  </si>
  <si>
    <t>concursante</t>
  </si>
  <si>
    <t>Luchando por una sociedad libre, igualitaria y justa.</t>
  </si>
  <si>
    <t>Rosa Martín Palacios</t>
  </si>
  <si>
    <t>¿Y tú Pablo Iglesias?</t>
  </si>
  <si>
    <t>Eso, @Pablo_Iglesias_ @sanchezcastejon @susanadiaz @TeresaRodr_ @MailloAntonio @JuanMa_Moreno @JuanMarin_Cs, una pensada a los #PermisosIgualesEIntransferibles. Tienen un cabo suelto, lxs niñxs en #FamiliasMonoparentales que precisan #IgualTiempoEnFamilia #IgualesEnDerechos RT @sabiaymayor: Tenemos tan embutida en nuestros esquemas mentales a la fam tradicional que queriendo ser progresistas os habéis olvidado de las #FamiliasMonoparentales especialmt de sus bebés. @PPiiNA @ahorapodemos dadle una pensada. Está en juego tiempo de apego y lactancia. @AsociacionMSPE</t>
  </si>
  <si>
    <t>https://twitter.com/sabiaymayor/status/1064689202120531969
https://twitter.com/sabiaymayor/status/1064484226203115521</t>
  </si>
  <si>
    <t>Alicante - Ávila</t>
  </si>
  <si>
    <t>Libre - Técnico de Turismo - Mami orgullosa x 2 - Amante del mar - Lectora - Viajera - Felina - Siempre Femenina</t>
  </si>
  <si>
    <t>https://www.instagram.com/rosamartinpalacios</t>
  </si>
  <si>
    <t>álvaro</t>
  </si>
  <si>
    <t>Luis Presa</t>
  </si>
  <si>
    <t>Y ese @Pablo_Iglesias_ citando el nombre de empresarios y sugiriendo que los aviones no son seguros por la huelga de #Airbus todo por televisión para no alarmar</t>
  </si>
  <si>
    <t>Lawyer Economist CEO Atheist world citizen space universe lover Spain y vasco</t>
  </si>
  <si>
    <t>b612</t>
  </si>
  <si>
    <t>especialidad en no hacer nada y en rayarme la puta cabeza, ya está, eso es todo sobre mí. 🌃🏳️‍🌈</t>
  </si>
  <si>
    <t>itziar🇮🇹</t>
  </si>
  <si>
    <t>Tribuna | ¿Para qué sirve hoy la monarquía?; por Pablo Iglesias  di @el_pais</t>
  </si>
  <si>
    <t>La pose de cínico del Presidente es de libro, que injusticia, con escasamente 25 Diputados ,una formación como Podemos le halla puesto en bandeja el gobierno @Pablo_Iglesias_ no te lo perdonare nunca, pensabas que Susi, Páge y cía. iban a consentir tu cogobernaras? increible RT @ehbilducongreso: 🏛️ @JonInarritu a Sánchez en la #SesiónDeControl: «Conocimos a quien iba a presidir el #CGPJ antes que a los 20 vocales que debían elegirlo. Lo realmente grave del 'whatsapp' de Cosidó es que es verdad: PP y PSOE se reparten el control de la cúpula judicial. Esa es la vergüenza».</t>
  </si>
  <si>
    <t>https://twitter.com/ehbilducongreso/status/1064913057690894336</t>
  </si>
  <si>
    <t>pic.twitter.com/0P0MCNmTgu</t>
  </si>
  <si>
    <t>Pontevedra, Spain</t>
  </si>
  <si>
    <t>Mi diagnóstico es sencillo, sé que no tengo remedio 📌derecho, USC</t>
  </si>
  <si>
    <t>http://instagram.com/izi_bermudez</t>
  </si>
  <si>
    <t>José Manuel Sánchez Fornet</t>
  </si>
  <si>
    <t>¿Pedro Sánchez y Pablo Iglesias no sabían esto? ¿Saben que España es un estado de derecho? ¿No se les ocurrió pedir un informe jurídico, o creen estar en una dictadura bananera donde su voluntad pasa por encima de la ley? Un ridículo espantoso el de ambos.</t>
  </si>
  <si>
    <t>Miguel Gomez Karro 🇪🇸</t>
  </si>
  <si>
    <t>Quiero pensar que el @Pablo_Iglesias_ se descojona con estas cosas...</t>
  </si>
  <si>
    <t>https://okdiario.com/espana/2018/11/22/gobierno-reconoce-que-tumba-franco-inviolable-sin-autorizacion-del-prior-3376567</t>
  </si>
  <si>
    <t>pic.twitter.com/7prDRIE9aK</t>
  </si>
  <si>
    <t>Mi Biblia, la Declaración Universal de los Derechos Humanos. Agnóstico. Personaje histórico favorito, un revolucionario: Jesús de Nazaret.</t>
  </si>
  <si>
    <t>http://confidencialandaluz.com/author/sanchezfornet/</t>
  </si>
  <si>
    <t>Nunca llegarás a destino si te paras a tirar piedras a cada perro que te ladre Winston Churchill</t>
  </si>
  <si>
    <t>Emilia Avis</t>
  </si>
  <si>
    <t>Cuando murió Franco @sanchezcastejon tenía 3 añitos y @Pablo_Iglesias_ ni había nacido 43 años después le han vuelto a poner de moda, intentado infundir un odio que ya no existe A eso se le llama mezquindad</t>
  </si>
  <si>
    <t>Victor Del Estal</t>
  </si>
  <si>
    <t>Buuuffff !!! Menudo repaso al sistema judicial @MinisterioJusti del padre de Diana Quer . Más razón que un santo y todo lo que promulga @Pablo_Iglesias_ @pnique etc @sanchezcastejon es calumniar la memoria de todas las victimas de violacion RT @miqueleandolini: El juez preferido de toda la tele basura en estado de shock. Grande el señor Quer.</t>
  </si>
  <si>
    <t>https://twitter.com/miqueleandolini/status/1064898643440910336
https://twitter.com/mrwolfspain/status/1064773800699576320?s=21</t>
  </si>
  <si>
    <t>Soy y seré Pilarista siempre, trabajo ahora mismo con Equipos de Primera y segunda división de LNFP, escuelas se fútbol, ACB, Sales Manager Sport Division Nuubo</t>
  </si>
  <si>
    <t>Javi M Santos</t>
  </si>
  <si>
    <t>Hola señor @JosepBorrellF, para esos discursos suyos en los que le aplauden ciudadanos y el pp, y no los partidos de izquierdas, le voy a recordar una frase de Pablo Iglesias Posee, no Turrión, "Cuando nos aplauden los burgueses, es que estamos haciendo algo mal"</t>
  </si>
  <si>
    <t>VÍDEO | @Pablo_Iglesias_: "El Gobierno se habría podido currar más que salgan los PGE, no podemos hacerlo todo"</t>
  </si>
  <si>
    <t>http://atres.red/g7a2u4</t>
  </si>
  <si>
    <t>Sociólogo y comunicólogo, por la USAL, con prácticas en El Adelanto y rtvcyl. Máster en la UV. Aka xtraflako en #foroacb</t>
  </si>
  <si>
    <t>http://vivenciasdiaadia.blogspot.com</t>
  </si>
  <si>
    <t>lola</t>
  </si>
  <si>
    <t>#45sindespidos @sanchezcastejon @Albert_Rivera @Pablo_Iglesias_ @pablocasado_ la ley de tropa y marinería tiene que ser derogada, profesionales altamente cualificados, discriminados por la edad, no se queden atrapados en el tiempo y deroguen la ley no es el día de la marmota</t>
  </si>
  <si>
    <t>jerez de la frontera</t>
  </si>
  <si>
    <t>Luchando lo conseguiremos</t>
  </si>
  <si>
    <t>💚 Adelante Andalucía trabaja para defender el futuro de su tierra, protegiendo su medio ambiente, apostando por conectar por tren los municipios de más de 20.000 habitantes para frenar la dependencia del coche. @TeresaRodr_ en Marbella 👇🏽</t>
  </si>
  <si>
    <t>Dadas las INNUMERABLES EVIDENCIAS ¿Por qué NO SE ESTÁ ACTUANDO (quien corresponda) para la #IlegalizaciónDelPP ? ¿Qué más tiene que pasar? ¿Hasta dónde se tiene que caer la cara de vergüenza de nuestra "democracia"? @Pablo_Iglesias_ @ahorapodemos</t>
  </si>
  <si>
    <t>🐑💨🐦</t>
  </si>
  <si>
    <t>Hoy @Pablo_Iglesias_ ha querido estando presente en las inmediaciones de #Airbus ,mostrarse en televisión y apoyar la huelga y protestas de los trabajadores!!. "Si queréis ver a #PabloCasado o #PedroSanchez hacer lo mismo,ya podéis esperar sentados".</t>
  </si>
  <si>
    <t>https://pbs.twimg.com/media/Dsd5ZVHX4AAteOV.jpg</t>
  </si>
  <si>
    <t>Guipúzcoa - CastillaLaMancha</t>
  </si>
  <si>
    <t>No confundas mi personalidad con mi actitud; mi personalidad es quién soy,mi actitud depende quién seas tú. #Usurbil #RealSociedad #Toledo ......Aita de Noa👶!!</t>
  </si>
  <si>
    <t>Inquisidor Torquemada</t>
  </si>
  <si>
    <t>Hola @Pablo_Iglesias_ Tú que tienes un Máster en Incongruencia y Chalets, ¿podrías comentar algo sobre el tema de @LeticiaDolera y el despido de una embarazada de su serie feminista?</t>
  </si>
  <si>
    <t>FELIX MARTIN</t>
  </si>
  <si>
    <t>SR. PABLO IGLESIAS "" LOS PAISES MAS EJEMPLARMENTE DEMOCRATICOS EN EUROPA !!! tienen Monarquia Parlamentaria !!! RT @ldpsincomplejos: Veo que Pablo Iglesias ha escrito un artículo preguntándose "¿Para qué sirve hoy la Monarquía?". Yo me pregunto otra cosa: ¿para qué sirve hoy Pablo Iglesias? Una vez conducido el 15M a la nada, ya has logrado los objetivos de quienes te lanzaron, Pablo. ¿Por qué sigues murgando?</t>
  </si>
  <si>
    <t>Corona de Castilla.</t>
  </si>
  <si>
    <t>Neoinquisidor General de Castilla y Aragón. 😎</t>
  </si>
  <si>
    <t>CREADOR MODERNA ESCUELA MARKETING</t>
  </si>
  <si>
    <t>Que te parece estw pensamiento chuleta @Pablo_Iglesias_ ? Yo, que soy venezolano y español , estoy seguro que cuando dijiste que a acabarías con la pobreza, te faltó "El detallito" de decir que sería tu pobreza. ... con los millones del narco Gobierno y de los persas...</t>
  </si>
  <si>
    <t>Juan M. Ferrández</t>
  </si>
  <si>
    <t>Entre el Rey como Jefe de Estado y Pablo Iglesias o Echenique como Presidentes de República la verdad es que se me generan muchas dudas de quién creo que lo haría mejor 🤪🤪😂😂😂😂😂😂😂. VIVA EL REY RT @europapress: Rivera recalca a Iglesias que el problema de España no es la Monarquía sino el populismo: "Felipe VI está bastante mejor valorado que Iglesias. El Rey no es el problema, son Rufián, Iglesias, Puigdemont..."</t>
  </si>
  <si>
    <t>https://pbs.twimg.com/media/Dsd4WD-XQAI7kEZ.jpg</t>
  </si>
  <si>
    <t>http://www.msfassociates.com</t>
  </si>
  <si>
    <t>Luis Sanz</t>
  </si>
  <si>
    <t>Un poco invasivo esto no?  @ierrejon @Pablo_Iglesias_ @pablocasado_ @sanchezcastejon</t>
  </si>
  <si>
    <t>Que ha hecho Pablo Iglesias en 4 años ? Difundir odio Atizar odio Mentir SIN parar Hacer lo mismo que todo lo que criticaba. Instalar una dictadura en el interior de su partido. Enriquecerse en 4 años Y mantener vivo ese Odio Para existir. @ahorapodemos @pnique RT @el_pais: "Una nueva república será la mejor garantía para una España unida sobre la base del respeto y la libre decisión de sus pueblos y sus gentes". Una tribuna de @Pablo_Iglesias_ #ParaQuéSirveLaMonarquía</t>
  </si>
  <si>
    <t>https://m.eldiario.es/tecnologia/partidos-enviarte-propaganda-politica-consentimiento_0_837466634.html</t>
  </si>
  <si>
    <t>#NetAppUnited 2018. Me encantan los retrogamers.</t>
  </si>
  <si>
    <t>Bàrbara</t>
  </si>
  <si>
    <t>Oído para navegantes @pablocasado_ @sanchezcastejon @Albert_Rivera @Pablo_Iglesias_ Igual optáis por ir contra el sentido común y optáis por decir que Europa os boicotea. No descarto nada. RT @BeatrizTalegon: 🔴🔴🔴🔴🔴🔴🔴🔴🔴 el tribunal europeo de Derechos Humanos exige la libertad de un diputado kurdo que ha estado en prisión sin juicio durante más de año y medio. Lo decide por unanimidad.</t>
  </si>
  <si>
    <t>https://twitter.com/BeatrizTalegon/status/1064901983486779392
https://twitter.com/josepcosta/status/1064887132479791104</t>
  </si>
  <si>
    <t>Ernesto Resnik</t>
  </si>
  <si>
    <t>Aparentemente soy populista de izquierda muy parecido a Pablo Iglesias. How populist are you? (algunas preguntas francamente ridículas, solo para ayudar a catalogar...)</t>
  </si>
  <si>
    <t>Intento ser dialogante, comprensiva y empática...</t>
  </si>
  <si>
    <t>Fort Apache</t>
  </si>
  <si>
    <t>🎥 "A Francia no le gusta que Estados Unidos controle la OTAN", @Pablo_Iglesias_ en el debate sobre un ejército europeo. 📺 Programa completo →</t>
  </si>
  <si>
    <t>A la izquierda</t>
  </si>
  <si>
    <t>Pude ser el 8 de la selección, pero me quedé a dar una mano en Biología. Biólogo Molecular/Celular, Biotecnólogo (Anticuerpos monoclonales).</t>
  </si>
  <si>
    <t>http://iernesto.blogspot.com/</t>
  </si>
  <si>
    <t>https://bit.ly/2QaxsG0</t>
  </si>
  <si>
    <t>pic.twitter.com/YNztenhqr9</t>
  </si>
  <si>
    <t>Tertulia política en @Hispantv | https://www.youtube.com/user/Fortapachecmi</t>
  </si>
  <si>
    <t>http://www.fortapache.es/</t>
  </si>
  <si>
    <t>.@Pablo_Iglesias_ Hola, Pablo, nada, que quería preguntarte por qué la caravana esa de centroamericanos va hacia EEUU y no hacia Venezuela, siendo como es un paraíso para los trabajadores y estando mucho más cerca. Gracias. @ahorapodemos @ierrejon @MonederoJC @Irene_Montero_</t>
  </si>
  <si>
    <t>El Guerrero del Cierzo</t>
  </si>
  <si>
    <t>Que dirán sus compis de gobierno, o @gabrielrufian , @pnique , @Pablo_Iglesias_ , @agarzon y demás huestes de la izquierda populista sobre la visita de @sanchezcastejon al “Franco” Marroquí 🤔😉</t>
  </si>
  <si>
    <t>https://okdiario.com/general/2018/11/20/pedro-sanchez-presenta-sus-respetos-franco-marruecos-mohamed-v-mausoleo-3369733?utm_term=Autofeed&amp;utm_campaign=ok&amp;utm_medium=Social&amp;utm_source=Twitter#Echobox=1542696917</t>
  </si>
  <si>
    <t>JARRYELSUSIO</t>
  </si>
  <si>
    <t>España 🇪🇸</t>
  </si>
  <si>
    <t>🇪🇸Si quieres que las cosas cambien involúcrate en el proceso sino 🤫. Bloqueo a todos los 🎗🎗... No pierdo tiempo con lobotomizados 🧠 ni abducidos🤢</t>
  </si>
  <si>
    <t>Pasajero de los sueños, orfebre de las sombras, navegante de oceanos muertos.</t>
  </si>
  <si>
    <t>Venus</t>
  </si>
  <si>
    <t>🔊 Está tarde estreno 📽 de ¡ EL MAL SIEMPRE RECLAMA SU DEUDA ! protagonizada por @sanchezcastejon @Pablo_Iglesias_ @QuimTorraiPla y actores nacionalistas que pretenden romper 🇪🇸 y la Constitución #STOPIndultos ⬇️⬇️⬇️⬇️⬇️⬇️⬇️</t>
  </si>
  <si>
    <t>Nature</t>
  </si>
  <si>
    <t>Esclarecedor artículo de Pablo Iglesias.</t>
  </si>
  <si>
    <t>https://pbs.twimg.com/media/DsdzhlSW0AA2RMG.jpg</t>
  </si>
  <si>
    <t>Amante de los bosques, las montañas, los animales, las nubes, el viento, la lluvia....y los días tibios de otoño. Y Podemita orgullosa.</t>
  </si>
  <si>
    <t>#45sindespidos @sanchezcastejon @susanadiaz @Albert_Rivera @Pablo_Iglesias_ @pablocasado_ la ley de tropa y marinería se derogara algún día? #sosprisiones faltos de personal sus vidas en peligro, militares al paro sus vidas en peligro,aquí les falla algo señores gobernantes</t>
  </si>
  <si>
    <t>Boqui_Enfurecido</t>
  </si>
  <si>
    <t>QUEREMOS QUE SE NOS ESCUCHE! Queremos ser VISIBLES @A3Noticias @sextaNoticias @telediario_tve @informativost5 @noticias_cuatro @el_pais @elmundoes @okdiario @sanchezcastejon @Albert_Rivera @pablocasado_ @Pablo_Iglesias_ #TuAbandonoMePuedeMatar #SOSprisiones RT @AcaipTeixeiro: Director Teixeiro y Subdelegacion del Gobierno utilizan @guardiacivil para bajar con coaciones de los autobuses a compañeros de servicios mínimos. #Marlaska nos prefiere a las puertas y no en una mesa de #negociacion #PrisionesEnHuelga #sosprisiones</t>
  </si>
  <si>
    <t>https://twitter.com/acaipteixeiro/status/1064538872279912453</t>
  </si>
  <si>
    <t>pic.twitter.com/oWvNw0XEEB</t>
  </si>
  <si>
    <t>TU ABANDONO NOS PUEDE MATAR #Prisionesenhuelga #NoEsPorTiEsPorMi</t>
  </si>
  <si>
    <t>No se confundan señores y señoras España creó a Franco y consintió su muerte en la cama @UEmadrid @CasaReal @sanchezcastejon @Pablo_Iglesias_ @pablocasado_ @Albert_Rivera  vía @elmundoes</t>
  </si>
  <si>
    <t>https://www.elmundo.es/espana/2018/11/20/5bf3071946163ffb518b4673.html</t>
  </si>
  <si>
    <t>grsuarez</t>
  </si>
  <si>
    <t>Mira @Pablo_Iglesias_, las víctimas del franquismo.</t>
  </si>
  <si>
    <t>https://pbs.twimg.com/media/DsdvuUMWoAQessK.jpg</t>
  </si>
  <si>
    <t>Profe de lengua, aficionado a la filosofía y padre. ex @ juandehita</t>
  </si>
  <si>
    <t>Tonto Polla</t>
  </si>
  <si>
    <t>SergioMartínCarrillo</t>
  </si>
  <si>
    <t>Ya tenemos #CuadernosDeFormación publicados donde hemos participado los coordinadores de los cursos de formación CELAG en 2018 junto con algunos de nuestros alumnos y las conferencias magistrales de @Pablo_Iglesias_ y @ernestosamperp 👇👩‍🏫</t>
  </si>
  <si>
    <t>http://www.celag.org/wp-content/uploads/2018/11/cuadernos_formacion_2018.pdf</t>
  </si>
  <si>
    <t>anmaru</t>
  </si>
  <si>
    <t>https://pbs.twimg.com/media/DsduQ0qW0AAUynm.jpg</t>
  </si>
  <si>
    <t>Tribuna | ¿Para qué sirve hoy la monarquía?; por Pablo Iglesias PUES PARA TENER UNA GARANTIA DE QUE EL PRESIDENTE DE LA REPÚBLICA NO SEA UN CATAMAÑANAS COMO TU  vía @el_pais</t>
  </si>
  <si>
    <t>Málaga, Andalucía</t>
  </si>
  <si>
    <t>Todos remamos contigo</t>
  </si>
  <si>
    <t>Trotamundos de regreso a casa. Con el corazón entre Andalucía y América Latina. Ahora es el momento. En @CELAGeopolítica</t>
  </si>
  <si>
    <t>Rafael Enríquez de Salamanca 🕊</t>
  </si>
  <si>
    <t>¿Os imagináis un Grupo de apoyo a Tíbet en el Congreso de Diputados y Diputadas de España que contribuya a la conservación de su identidad, cultura, idioma y religión? @Pablo_Iglesias_ @agarzon @pnique @ManoloMonereo - Hay que tener ideales para poder trabajar por ellos. 🙏 RT @FPMT_Nalanda: Meeting w/ All Party Japanese Parliamentary Group for Tibet - MPs were keen to contribute to the preservation of Tibetan culture, language &amp; religious traditions. #HHDL #DalaiLama #gratitude #Japan 🇯🇵 Read ➡️  In Pictures ➡️  🙏</t>
  </si>
  <si>
    <t>https://twitter.com/fpmt_nalanda/status/1064930624866320386
https://www.dalailama.com/news/2018/meeting-with-an-all-party-japanese-parliamentary-group-for-tibet
https://www.dalailama.com/pictures/final-day-in-tokyo</t>
  </si>
  <si>
    <t>https://pbs.twimg.com/media/DsdkvrxWsAABfFy.jpg</t>
  </si>
  <si>
    <t>San Fernando [Cádiz]</t>
  </si>
  <si>
    <t>Hacer la promesa solemne de abstenerse de acciones negativas es muchísimo más beneficioso que solo abstenerse de acciones negativas.</t>
  </si>
  <si>
    <t>Nihilista Incongruente</t>
  </si>
  <si>
    <t>Sin ti no soy nada... (No lo cantes!) Hagamos una España diferente @Pablo_Iglesias_ .</t>
  </si>
  <si>
    <t>Centro de desintoxicacion mas cercano. Lata de Steinburg a euro.</t>
  </si>
  <si>
    <t>nadekøjones</t>
  </si>
  <si>
    <t>SombriXX</t>
  </si>
  <si>
    <t>Este póker de comodines formado por @junqueras @QuimTorraiPla @Pablo_Iglesias_ y @sanchezcastejon son los que negocian en la cárcel y por la puerta de atrás, el futuro de nuestro país. Pero esta mano tiene que ser nuestra💪💪 #STOPIndultos</t>
  </si>
  <si>
    <t>https://pbs.twimg.com/media/DsdtdscWwAArGjD.jpg</t>
  </si>
  <si>
    <t>Hyrule</t>
  </si>
  <si>
    <t>.</t>
  </si>
  <si>
    <t>Defendamos las injusticias. Hagamos de lo malo, bueno. Y de lo bueno, mejor</t>
  </si>
  <si>
    <t>manuelpl</t>
  </si>
  <si>
    <t>He de reconocer que usted es fiel a sus principios. Políticamente es mas fiable que Sanchez. No permita que siga haciendo esta política del despiste.@Pablo_Iglesias_  vía @elmundoes</t>
  </si>
  <si>
    <t>Francisco Jose Fernandez Carrasco</t>
  </si>
  <si>
    <t>Redacción Médica</t>
  </si>
  <si>
    <t>.@ahorapodemos quiere fiscalizar y publicar cada pago de la #industria a un médico. cc/ @Pablo_Iglesias_</t>
  </si>
  <si>
    <t>https://www.facebook.com/ffernandezcarrasco1</t>
  </si>
  <si>
    <t>https://www.redaccionmedica.com/secciones/parlamentarios/-podemos-quiere-fiscalizar-y-publicar-cada-pago-de-la-industria-a-un-medico-5421</t>
  </si>
  <si>
    <t>Homero Guevara</t>
  </si>
  <si>
    <t>Periódico online con toda la actualidad del sector sanitario. #medicina #enfermería #farmacia #sanidad #salud #pacientes</t>
  </si>
  <si>
    <t>http://www.redaccionmedica.com</t>
  </si>
  <si>
    <t>El Salvador</t>
  </si>
  <si>
    <t>NO HAY MAYOR CRIMEN QUE MATAR UN SUEÑO, NI MAYOR VIRTUD QUE REALIZARLO ....JAL</t>
  </si>
  <si>
    <t>Rober</t>
  </si>
  <si>
    <t>#StopIndultos #EllosNoVotanPorTi @sanchezcastejon @Pablo_Iglesias_ @PSOE @ahorapodemos Van a indultar los golpistas? Habrían indultado también a Tejero en el 23F?</t>
  </si>
  <si>
    <t>https://pbs.twimg.com/media/DsdpvFtWkAIh-b4.jpg</t>
  </si>
  <si>
    <t>Vicente Garcia Castro</t>
  </si>
  <si>
    <t>Si Pablo, parece que @Pablo_Iglesias_ solo lee los titulares, se le escapa la letra pequeña. #ProteccionDeDatos RT @pnique: La política está bien sencilla últimamente. Hay partidos que van a echar gasolina en los conflictos entre los pueblos y hay partidos que se remangan para defender a la gente trabajadora cuando los poderosos la maltratan. Aquí @Pablo_Iglesias_ con los trabajadores de Airbus. 💪</t>
  </si>
  <si>
    <t>Muras, España</t>
  </si>
  <si>
    <t>Ciudadano. Ciberactivista. Derechos Humanos. Justicia Social.</t>
  </si>
  <si>
    <t>https://www.facebook.com/lacorruptecapublica/?ref=settings</t>
  </si>
  <si>
    <t>Conjunto Vacío</t>
  </si>
  <si>
    <t>Ya le gustaría a Pablo Iglesias.</t>
  </si>
  <si>
    <t>https://pbs.twimg.com/media/DsnJT23XcAAU4b7.jpg</t>
  </si>
  <si>
    <t>Eris</t>
  </si>
  <si>
    <t>El 20 N murió Franco y @Pablo_Iglesias_ pasó del; si se puede!! al NO PODEMOS!! #PGE2019 #EspañaViva #EleccionesYA LA SEXTA TV | Pablo Iglesias: "El Gobierno se habría podido currar más que salgan los PGE, no podemos hacerlo todo"</t>
  </si>
  <si>
    <t>El pasillo de los cinco minutos y medio</t>
  </si>
  <si>
    <t>Comunicación científica, traducción y periodismo ☄️"Not explaining science seems to me perverse. When you're in love, you want to tell the world" - Carl Sagan ☄</t>
  </si>
  <si>
    <t>https://www.lasexta.com/programas/al-rojo-vivo/entrevistas/pablo-iglesias-el-gobierno-se-habria-podido-currar-mas-que-salgan-los-pge-no-podemos-hacerlo-todo-video_201811205bf4093f0cf2abe03a75241e.html</t>
  </si>
  <si>
    <t>Luis del Pino</t>
  </si>
  <si>
    <t>Veo que Pablo Iglesias ha escrito un artículo preguntándose "¿Para qué sirve hoy la Monarquía?". Yo me pregunto otra cosa: ¿para qué sirve hoy Pablo Iglesias? Una vez conducido el 15M a la nada, ya has logrado los objetivos de quienes te lanzaron, Pablo. ¿Por qué sigues murgando?</t>
  </si>
  <si>
    <t>piensa por ti mismo y deja que los demas gocen del mismo privilegio</t>
  </si>
  <si>
    <t>Director del programa de tertulia política Sin Complejos en http://esradio.libertaddigital.com/</t>
  </si>
  <si>
    <t>http://blogs.libertaddigital.com/enigmas-del-11-m/</t>
  </si>
  <si>
    <t>santi calvo coloma</t>
  </si>
  <si>
    <t>Veremos a ver si realmente los políticos están al lado de sus militares en esta concentración dándoesu apoyo y ánimo #45sindespidos #LeyDeCarreraMilitarÚnica @45sindespidos @Albert_Rivera @Pablo_Iglesias_ @pablocasado_ @sanchezcastejon @ExpositoCOPE @eduardoinda @Congreso_Es</t>
  </si>
  <si>
    <t>https://pbs.twimg.com/media/DsdlLTtXoAI83VW.jpg</t>
  </si>
  <si>
    <t>Juan Pedro de Frutos</t>
  </si>
  <si>
    <t>Aparte del artículo de Pablo Iglesias en el País -con algunas omisiones en la Transición española, como que se votó dos veces a la monarquía-, hoy seguimos pendientes del VAR en el esputo a Borrell en la cámara. Un chiste sin gracia, vamos.</t>
  </si>
  <si>
    <t>70000 militares con sus familias necesitan solución de verdad unión y fuerza</t>
  </si>
  <si>
    <t>Licenciado en Periodismo y Economía. Asesor personal financiero, escritor y estudiante de doblaje, además de crítico de cine.</t>
  </si>
  <si>
    <t>http://jpdefrutos.wordpress.com/</t>
  </si>
  <si>
    <t>Antonio Reolid C´s💎</t>
  </si>
  <si>
    <t>🔴@pnique, ¿el 'poderoso' @Pablo_Iglesias_ ? 👇 Riobóo: "Iglesias esclavizaba a sus trabajadores, pagaba 25 euros por programa" Enrique Riobóo, antiguo socio del líder de Podemos, denuncia las condiciones laborales que soportaba el equipo de La Tuerka.  RT @pnique: La política está bien sencilla últimamente. Hay partidos que van a echar gasolina en los conflictos entre los pueblos y hay partidos que se remangan para defender a la gente trabajadora cuando los poderosos la maltratan. Aquí @Pablo_Iglesias_ con los trabajadores de Airbus. 💪</t>
  </si>
  <si>
    <t>Joan Florit</t>
  </si>
  <si>
    <t>https://bit.ly/2OUm4cR
https://twitter.com/pnique/status/1064925019451678720</t>
  </si>
  <si>
    <t>pro·gram·mer (n): An organism capable of converting caffeine into code. / Blog: http://joanflo.wordpress.com/ &amp; Github: https://github.com/joanflo</t>
  </si>
  <si>
    <t>http://joanflo.github.io/</t>
  </si>
  <si>
    <t>Albacete, España</t>
  </si>
  <si>
    <t>Grado en Prevención y Seguridad Integral. Grado en Seg. y Emergencias. Máster en Dirección Pública y Políticas Públicas. Consultor. Ciudadano🍊 en @Cs_Albacete</t>
  </si>
  <si>
    <t>DonZen</t>
  </si>
  <si>
    <t>Medellín, Colombia</t>
  </si>
  <si>
    <t>Hazte consciencia y luego vive. 🇨🇴</t>
  </si>
  <si>
    <t>http://soyvotanteco.blogspot.com.co</t>
  </si>
  <si>
    <t>Si cobras 3.000 €uracos de nuestro bolsillo, lo mínimo exigible es que te leas la letra pequeña. @Pablo_Iglesias_  vía @eldiariotec</t>
  </si>
  <si>
    <t>https://www.eldiario.es/_31f011ef</t>
  </si>
  <si>
    <t>Portadores de sueños Librería</t>
  </si>
  <si>
    <t>Os vamos avisando ya de que el lunes 26 a las 19h en el Teatro Principal tendremos con nosotros a @Pablo_Iglesias_ y @EnricJuliana conversando sobre su libro «Nudo España» (@arpaeditores). Les acompañará @evaperezsorri. ¡Os esperamos!</t>
  </si>
  <si>
    <t>Marcial</t>
  </si>
  <si>
    <t>El Pais de Rubalcaba no habría publicado el artículo infecto contra la monarquía que firma hoy Pablo Iglesias; tampoco lo habría permitido Cebrián</t>
  </si>
  <si>
    <t>https://pbs.twimg.com/media/Dsdjj2wWkAIXvLZ.jpg</t>
  </si>
  <si>
    <t>Si la derrota fuese sabiduría, sería de los más sabios de España; enamorado de 🇫🇮 Estudiante Ciencias Jurídicas UNED/ socialdemócrata del siglo XX</t>
  </si>
  <si>
    <t>http://loscuervosdelademocracia.es/</t>
  </si>
  <si>
    <t>Zaragoza (España)</t>
  </si>
  <si>
    <t>Librería literaria en el centro de Zaragoza (Blancas, 4-976225255). Abierto de lunes a sábado de 10h a 14h y de 17h a 20.30h. Te ofrecemos la mejor literatura.</t>
  </si>
  <si>
    <t>http://www.losportadoresdesuenos.com</t>
  </si>
  <si>
    <t>J.C. T.</t>
  </si>
  <si>
    <t>Al que no les hace la ola (es indepe) lo agreden física moral o cómo sea... Pongan vds. Los definición. Para @Pablo_Iglesias_ : ésto es para vosotros lo que hay que apoyar? Lo habéis de explicar mucho y muy despacio. En Andalucia les encantará! RT @cronicaglobal: Un periodista 'indepe' dice que el éxito de Rosalía "son sus tetas" y que le "gustaría verlas"</t>
  </si>
  <si>
    <t>https://twitter.com/cronicaglobal/status/1064896648831295490
https://cronicaglobal.elespanol.com/vida/periodista-indepe-exito-rosalia-son-tetas_200965_102.html</t>
  </si>
  <si>
    <t>Spain, Europe</t>
  </si>
  <si>
    <t>a lo mejor deberíais escuchar las palabras del dueño de la rehala. Lo que hizo por sus perros, no como vosotros poniendo cuatro tuits creando odio @Pablo_Iglesias_ @agarzon @GladiadoresPaz</t>
  </si>
  <si>
    <t>https://www.club-caza.com/actualidad/actualver.amp.asp?nn=8107&amp;nn=8107&amp;__twitter_impression=true</t>
  </si>
  <si>
    <t>Real Madrid. NBA. Roger Federer. Toni Kroos. Sergio Llull. LeBron James. Luka Doncic. Boston Celtics. #GraciasZizou</t>
  </si>
  <si>
    <t>Santi Orozco</t>
  </si>
  <si>
    <t>#STOPIndultos @sanchezcastejon quiere indultar a quienes le han dado las llaves de la moncloa. Vende el Estado de Derecho por unos viajecitos en el falcon a quienes dieron un golpe de Estado. Con el beneplácito de @Pablo_Iglesias_ el autodenominado regenerador de la democracia</t>
  </si>
  <si>
    <t>Anavel</t>
  </si>
  <si>
    <t>🤣🤣🤣🤣🤣🤣Podemos: “Romperemos en pedazos el discurso de VOX, Pablo Iglesias será presidente de Gobierno” @ahorapodemos</t>
  </si>
  <si>
    <t>https://pbs.twimg.com/media/DsdhDgJWkAAIwHZ.jpg</t>
  </si>
  <si>
    <t>https://www.lasvocesdelpueblo.com/podemos-romperemos-en-pedazos-el-discurso-de-vox-pablo-iglesias-sera-presidente-de-gobierno/?fbclid=IwAR1cMsIz4END5f61IfXLnO8J8XA-cR1ULsfPgS9vusd-u-fU_P_0nBpyWPw</t>
  </si>
  <si>
    <t>ciudadano</t>
  </si>
  <si>
    <t>Ninguno de nosotros es tan bueno como todos nosotros juntos. Secretario @CsGetxo 🍊👍.</t>
  </si>
  <si>
    <t>http://euskadi.ciudadanos-cs.org/category/getxo/</t>
  </si>
  <si>
    <t>Entre el Cielo y la Tierra</t>
  </si>
  <si>
    <t>Si. Anavel con V. El Ángel al Servicio de Dios. Hace tiempo que bajé el volumen de lo que escucho y subí el tono de lo que siento. 🇪🇸🇪🇸🇪🇸🇪🇸🇪🇸</t>
  </si>
  <si>
    <t>#Galería El secretario general de @ahorapodemos, @Pablo_Iglesias_, defiende en el #Pleno la proposición de ley para el establecimiento de un recargo de solidaridad a las #EntidadesDeCrédito. 📸</t>
  </si>
  <si>
    <t>http://bit.ly/FotonoticiaPleno20NOV</t>
  </si>
  <si>
    <t>https://pbs.twimg.com/media/Dsdf7XYXoAAOGt7.jpg</t>
  </si>
  <si>
    <t>"Criminales": el consternado tuit de Pablo Iglesias por una cacería en la que doce perros y un venado caen por un...</t>
  </si>
  <si>
    <t>VÍDEO | @Pablo_Iglesias_: "El Gobierno se habría podido currar más que salgan los PGE, no podemos hacerlo todo" @DebatAlRojoVivo</t>
  </si>
  <si>
    <t>https://www.huffingtonpost.es/2018/11/19/criminales-el-consternado-tuit-de-pablo-iglesias-por-una-caceria-en-la-que-doce-perros-y-un-venado-caen-por-un-barranco_a_23593178/</t>
  </si>
  <si>
    <t>https://pbs.twimg.com/media/DsnKONMWoAABksF.jpg</t>
  </si>
  <si>
    <t>http://atres.red/g7a2u6</t>
  </si>
  <si>
    <t>Master prince</t>
  </si>
  <si>
    <t>¿Dónde están los derechos de estos niños? @sanchezcastejon @Pablo_Iglesias_ @pablocasado_ @Albert_Rivera #20DeNoviembre #DiaInternacionaldelNino #saharalibre</t>
  </si>
  <si>
    <t>https://pbs.twimg.com/media/Dsdg0X0WkAQ_0FF.jpg</t>
  </si>
  <si>
    <t>En los sueños perdidos. Jaén</t>
  </si>
  <si>
    <t>♂No me gustan los mediocres ni los cobardes. shake it off. #saharalibre</t>
  </si>
  <si>
    <t>marc</t>
  </si>
  <si>
    <t>🌈🐻RU😎💔🎗</t>
  </si>
  <si>
    <t>gracias @sanchezcastejon y @Pablo_Iglesias_ por no ilegalizar esta puta basura fascista RT @NBCNews: WATCH: Fights broke out between far-right protesters and feminist anti-fascist activists at a rally marking the death of the dictator Francisco Franco.</t>
  </si>
  <si>
    <t>Acc</t>
  </si>
  <si>
    <t>17 y/o cunt and tired</t>
  </si>
  <si>
    <t>https://osu.ppy.sh/u/7454607</t>
  </si>
  <si>
    <t>https://twitter.com/NBCNews/status/1064282098851332096</t>
  </si>
  <si>
    <t>https://pbs.twimg.com/media/DsX7PqNWsAArLxH.jpg</t>
  </si>
  <si>
    <t>Republic of Catalonia</t>
  </si>
  <si>
    <t>#Design... #Margaritas... #LGBTQ2... #Polyglot... Heartbroken... not quite serious... #Reader quite #Arty too...</t>
  </si>
  <si>
    <t>sad days</t>
  </si>
  <si>
    <t>La política está bien sencilla últimamente. Hay partidos que van a echar gasolina en los conflictos entre los pueblos y hay partidos que se remangan para defender a la gente trabajadora cuando los poderosos la maltratan. Aquí @Pablo_Iglesias_ con los trabajadores de Airbus. 💪</t>
  </si>
  <si>
    <t>me han borrado la cuenta rip te peto el TL hijo de puta</t>
  </si>
  <si>
    <t>ilustrada maruja</t>
  </si>
  <si>
    <t>"El movimiento de Barcelona fué genuino..para impedir que el Sr. Maura vuelva al poder, ya dije en otra parte que mis amigos estaban dispuestos al atentado personal" Congreso: Pablo Iglesias (otro) dixit RT @carmen_caesaris: Hace años me dijo una profesora que había consultado un Diario de Sesiones del Congreso de principios del XX. Le había fascinado la calidad gramatical y retórica de los diputados y la existencia de intervenciones alabando el discurso del rival y declarando que le había convencido</t>
  </si>
  <si>
    <t>#EllosNoVotanPorTi ¡¡ Votad, votad !! que luego @Pablo_Iglesias_ y @pnique harán lo que quieran con vuestros votos. Como decía el encantador Stalin " No importa quién vota, sino quién cuenta los votos"</t>
  </si>
  <si>
    <t>https://twitter.com/carmen_caesaris/status/1065273027850571778</t>
  </si>
  <si>
    <t>La guerra. Un avión</t>
  </si>
  <si>
    <t>🆒 Wooper @BGW</t>
  </si>
  <si>
    <t>📽️ Intervención de @Pablo_Iglesias_ en el #Pleno defendiendo la necesidad de un impuesto a la banca para rescatar a quienes realmente sufrieron la crisis y hacer justicia. 👉</t>
  </si>
  <si>
    <t>https://www.youtube.com/watch?v=dJQamM0sPOk&amp;feature=youtu.be</t>
  </si>
  <si>
    <t xml:space="preserve">la furrycrew en la furrycasa </t>
  </si>
  <si>
    <t>Youtuber, Gaymer y Mammuter | Me gustan los gatos obesos</t>
  </si>
  <si>
    <t>https://curiouscat.me/elrubiusXD</t>
  </si>
  <si>
    <t>https://pbs.twimg.com/media/DsdE-QYXcAAhWLR.jpg</t>
  </si>
  <si>
    <t>Alejandro Melgares</t>
  </si>
  <si>
    <t>📢@sanchezcastejon ratifica que sin presupuestos, habrá elecciones en #España 🗣@pnique @HorcajoXavier @AlbertoSotillos @Tamboleo 📝@desdelamoncloa @Pablo_Iglesias_ @ahorapodemos @PSOE 🎥@OjOknove RT @Hispantv: Sánchez ratifica que si no hay presupuestos habrá elecciones:  vía @YouTube</t>
  </si>
  <si>
    <t>https://twitter.com/Hispantv/status/1064919097719189504
http://youtu.be/M6zpNnUk7ZE?a</t>
  </si>
  <si>
    <t>Madrid / Murcia</t>
  </si>
  <si>
    <t>Corresponsal en @Hispantv📺 Antes redactor jefe de @El_Distrito📰 redactor en Thader Tv @cope_murcia @SER_Murcia📻 y creador de @zarangollonews y @periadictos📲</t>
  </si>
  <si>
    <t>http://www.linkedin.com/in/alejandromelgares</t>
  </si>
  <si>
    <t>Enrique Hidalgo León</t>
  </si>
  <si>
    <t>El degenerado Zapatero sigue vivo en la actual ruina de España. Desde los trenes de Atocha a las subvenciones millonarias de @AdaColau y el coletero @pablo_iglesias_. Habría que meterlo en la tena y condenarlo a galeras de por vida. Por traidor</t>
  </si>
  <si>
    <t xml:space="preserve">España </t>
  </si>
  <si>
    <t>FINE ART. Músico en creación continua. http://youtube.com/playlist?list=…</t>
  </si>
  <si>
    <t>https://open.spotify.com/album/3FKanDYH2t4tTXehlH9k11</t>
  </si>
  <si>
    <t>Karl Marx</t>
  </si>
  <si>
    <t>Sólo Pablo Iglesias es capaz de hacer un artículo reclamando una República y que se te quiten las ganas de República y de todo.</t>
  </si>
  <si>
    <t>El Melero</t>
  </si>
  <si>
    <t>De Nuevo d Alta por la Seguridad social. Me parece bien. Nos Vamos Entendiendo @sanchezcastejon @Pablo_Iglesias_ #Alegría</t>
  </si>
  <si>
    <t>Sevilla (Ciudad del Betis )</t>
  </si>
  <si>
    <t>Alicia &amp; Martinna Amor Eterno</t>
  </si>
  <si>
    <t>Comunista</t>
  </si>
  <si>
    <t>El colectivo más vulnerable son los niños, más si son de #FamiliasMonoparentales, privándoles de 16 de las 32 semanas que sí disfrutarán los menores de las familias biparentales. Protejámoslos. @sanchezcastejon @Pablo_Iglesias_ @sanidadgob @SESSIGOB @Adrilastra @martamartirio7</t>
  </si>
  <si>
    <t>https://pbs.twimg.com/media/DsdTWf7XoAASrIZ.jpg</t>
  </si>
  <si>
    <t>¿El Rey no tiene que atender a la prensa o nadie le quiere molestar? Nadie ha publicado reacciones de la Casa Real sobre la carta que enviamos a Juan Carlos I Si la carta fuera del Rey a Pablo Iglesias seguro que muchos ya nos habrían pedido declaraciones #ParaQuéSirveLaMonarquía</t>
  </si>
  <si>
    <t>¿Por qué PSOE y @ahorapodemos permiten esto? Porque ellos son el Gobierno y podrían prohibir o detener a esta gente por exaltación del fascismo. ¿Por qué miran para otro lado mientras el fascismo crece? ¿Qué hace @Pablo_Iglesias_? Subir el sueldo 500€ a Jusapol?🤔 Qué vergüenza</t>
  </si>
  <si>
    <t>https://pbs.twimg.com/media/DsdQ87mWoAAarnZ.jpg</t>
  </si>
  <si>
    <t>Luis Garrido Nieto</t>
  </si>
  <si>
    <t>Professor Chaos!</t>
  </si>
  <si>
    <t>Ahora que por fin tenemos 20 meses por delante para demostrar que Podemos gobernar con PSOE, que a pesar de nuestras constantes torpezas somos serios y capaces... Justo ahora pedimos elecciones, exactamente lo que quieren PP y Cs? @Pablo_Iglesias_ os quiero pero no os entiendo.</t>
  </si>
  <si>
    <t>Alfredo Carrasquillo</t>
  </si>
  <si>
    <t>Tercer planeta desde el Sol</t>
  </si>
  <si>
    <t>A la derecha se vota por miedo, a la izquierda con ilusión. Y por favor, no soy profesor... es un (adorable) personaje de South Park.</t>
  </si>
  <si>
    <t>http://bit.ly/1Ko00ie</t>
  </si>
  <si>
    <t>Ser un Tusitala</t>
  </si>
  <si>
    <t>Sr. Abascal @Santi_ABASCAL hoy es un día muy importante para ud. y los suyos @vox_es le pedimos mucha moderación en sus celebraciones y que lea esto  hay personas muy preocupadas... @soyturiaso @pablocasado_ @Pablo_Iglesias_ @Albert_Rivera @sanchezcastejon</t>
  </si>
  <si>
    <t>https://goo.gl/YQ1pdq</t>
  </si>
  <si>
    <t>Ser un Tusitala, el blog del que todo el mundo habla. (A la venta en libro). Nuevo novela de ficción: "El Verano de Natalie Davis" @halcombenorilsk.</t>
  </si>
  <si>
    <t>https://goo.gl/p9XVc1</t>
  </si>
  <si>
    <t>.@pnique Pablete, desde que te enteraste de que @Pablo_Iglesias_ te tiene enfilao no sabes ni por dónde te da el aire. Vas de cagada en cagada, y lo de Madrid es la gota que ha colmado el vaso. Manolete, Manolete, si no sabes torear... RT @pnique: En este vídeo de Euronews se ve algo que no se ha difundido mucho en medios españoles. Una manada pateando a mujeres indefensas. Estos posibles votantes de PP, C's o Vox se creerán muy machitos, pero está claro que hay que ser cobarde y muy poco hombre. Bravas @FemenSpain. 💪</t>
  </si>
  <si>
    <t>https://twitter.com/pnique/status/1064452020613062658</t>
  </si>
  <si>
    <t>pic.twitter.com/rQl8ABWxA2</t>
  </si>
  <si>
    <t>Miguel Angel Sanz</t>
  </si>
  <si>
    <t>En cambio Pablo Iglesias lleva hablando años de la democracia ideal y si q se define sin problemas, la Venezuela de Chávez y Maduro. Esto no es para reír, es para llorar RT @marinaLobL: Albert Rivera lleva años hablando de “separatistas, bolivarianos y proetarras” pero le piden que defina a Vox y no lo hace porque “no es analista político”. Es que te tienes que reír.</t>
  </si>
  <si>
    <t>https://twitter.com/marinaLobL/status/1065219820482936833</t>
  </si>
  <si>
    <t>Harto del maldito doble rasero al que se apunta todo el mundo</t>
  </si>
  <si>
    <t>.@Pablo_Iglesias_ Pablo, camarada, Franco vive, la lucha sigue...</t>
  </si>
  <si>
    <t>Cercle Podem TGN</t>
  </si>
  <si>
    <t>Pablo Iglesias escribe hoy un genial artículo en El País sobre una pregunta que muchas nos hacemos:</t>
  </si>
  <si>
    <t>Hoy es el día internacional del niño y niña. Los menores primero, siempre. Son el futuro y hay que saber cuidarlo. Si la #Constitucion les protege, porqué no lo hace la clase política? @sanchezcastejon @PSOEigualdad @Pablo_Iglesias_ @agarzon @pablocasado_ @DefensorPuebloE</t>
  </si>
  <si>
    <t>https://pbs.twimg.com/media/DsdNP_WW0AANAGb.jpg</t>
  </si>
  <si>
    <t>Tarragona</t>
  </si>
  <si>
    <t>Twitter oficial del Cercle de Podem/Podemos Tarragona Centre / Contacte: cerclepodemtgncentre@gmail.com</t>
  </si>
  <si>
    <t>https://www.facebook.com/Cercle-PodemPodemos-Tarragona-Centre-874441889273908/</t>
  </si>
  <si>
    <t>Halcombe</t>
  </si>
  <si>
    <t>Si finalmente Irene Montero @Irene_Montero_ y Pablo Iglesias @Pablo_Iglesias_ nos enseñan su chalet de la sierra madrileña en el programa de Bertín Osborne @BertinOsborne no solo habrá presupuestos sino que Tele5 volverá a ser líder de audiencia @telecincoes y España vivirá</t>
  </si>
  <si>
    <t>Aragon, Spain</t>
  </si>
  <si>
    <t>My fictional novel "El verano de Natalie Davis" is available worldwide. Writer for International model agency. Blog in Spanish: https://goo.gl/cnEV7W</t>
  </si>
  <si>
    <t>https://goo.gl/y61K0g</t>
  </si>
  <si>
    <t>Titodixebra #oficialidá</t>
  </si>
  <si>
    <t>¿Por qué nun podemos votar n'asturianu? @ahorapodemos @PodemosAsturies @Daniel_Ripa @TaniaGonzalezPs @SofCastanon @Pablo_Iglesias_ Esto ye una vergoña.</t>
  </si>
  <si>
    <t>https://pbs.twimg.com/media/DsdLv4QX4AAfrjP.jpg</t>
  </si>
  <si>
    <t>Jou gonzalez</t>
  </si>
  <si>
    <t>#ParaQuéSirveLaMonarquía Pues supongo,que entre otras cosas para que gentuza como gabeiel rufian,pedro sanchez,pablo iglesias y similares no sean nuestro jefe de estado</t>
  </si>
  <si>
    <t>Asturies</t>
  </si>
  <si>
    <t>Yo en 160 caracteres? vas dao ... Alma de Les Fartures @lesfartures y http://flickr.com/photos/titodix…</t>
  </si>
  <si>
    <t>http://www.lesfartures.com/</t>
  </si>
  <si>
    <t>LUALBENTO</t>
  </si>
  <si>
    <t>Si no respetas a los animales no me interesas como persona. Políticamente incorrecto,autónomo y autóctono,máster en tuitología.</t>
  </si>
  <si>
    <t>16 horas National Geographic, Dictadores (T1) ep4 - nada sospechosos de izquierdosos ni de historiadores parciales, Franco y sus comienzos de crímenes etc. Recomendado ver en todas Tv Españolas y repetirlo. @Albert_Rivera @Pablo_Iglesias_ @sanchezcastejon</t>
  </si>
  <si>
    <t>シンジ・イカリ</t>
  </si>
  <si>
    <t>CALAÑA COMUNISTA y @Pablo_Iglesias_</t>
  </si>
  <si>
    <t>entendí la referencia</t>
  </si>
  <si>
    <t>https://curiouscat.me</t>
  </si>
  <si>
    <t>https://www.youtube.com/watch?v=ZQNyJdfO2HQ</t>
  </si>
  <si>
    <t>Ana Fernández Vila</t>
  </si>
  <si>
    <t>.@Pablo_Iglesias_ ve obvio que Sánchez no puede aguantar sin PGE: "Es probable que tengamos elecciones muy pronto"</t>
  </si>
  <si>
    <t>https://www.europapress.es/nacional/noticia-pablo-iglesias-ve-probable-haya-elecciones-muy-pronto-20181120152538.html</t>
  </si>
  <si>
    <t>Periodista. En Europa Press escribo sobre política y sigo los pasos de Unidos Podemos-En Comú-En Marea</t>
  </si>
  <si>
    <t>http://www.europapress.es/nacional/noticia-diario-campana-electoral-directo-20151203222943.html</t>
  </si>
  <si>
    <t>Gallego *RCD*</t>
  </si>
  <si>
    <t>Haz un donativo en #Movember y manda a paseo al cáncer de próstata y de testículo @NACHOVIDALPORN @yerayalvarez4 @FranHermida1 @MundoMaldini @LaLiga @policia @guardiacivil @Pablo_Iglesias_ @eljueves @zaragoza_es @gabrielrufian @BorjaFF  @movemberES</t>
  </si>
  <si>
    <t>https://mobro.co/13945326</t>
  </si>
  <si>
    <t>Zaragoza</t>
  </si>
  <si>
    <t>Tiger del soto, nacido en Lugo y residente en Zaragoza. Deportivista hasta la medula y orgulloso GALLEGO</t>
  </si>
  <si>
    <t>http://www.myspace.com/gallegoldh</t>
  </si>
  <si>
    <t>Kali Volcán</t>
  </si>
  <si>
    <t>Quiero dedicar este vídeo a: @MonederoJC @Pablo_Iglesias_ y en general a @ahorapodemos Es decir, a la Pinta, a La Niña y a la Santa María del S.XXI RT @cristiancrespoj: El chavismo ha condenado a muchos venezolanos a alimentarse como las ratas, de noche y en la basura! Admiro a las fundaciones que hacen lo imposible por ayudar a los más necesitados, pero hay que seguir denunciando sin tregua! Denunciar y ayudar! Video 👉 "manodediosve" (Instag.)</t>
  </si>
  <si>
    <t>Kano.</t>
  </si>
  <si>
    <t>https://twitter.com/cristiancrespoj/status/1064678840725921793</t>
  </si>
  <si>
    <t>pic.twitter.com/wUQnmH2T6K</t>
  </si>
  <si>
    <t>GZ.</t>
  </si>
  <si>
    <t>Gané el único duelo que he perdido.</t>
  </si>
  <si>
    <t>https://www.flickr.com/photos/nevereverkano/</t>
  </si>
  <si>
    <t>If the doors of perception were cleansed everything would appear to man as it is, infinite. ㅡ William Blake</t>
  </si>
  <si>
    <t>Observen cuerda de bolsas, buenos para nada, vagos de pacotilla! ---)) @ierrejon @pnique @Pablo_Iglesias_ @PedroSanchezofi @ahorapodemos RT @ANDRES_CANO42: #Venezuela cuando alguien te quiera vender que el #comunismo y #socialismo es progreso.... enseñales este video.</t>
  </si>
  <si>
    <t>cris99mb</t>
  </si>
  <si>
    <t>"(...)Una nueva república será la mejor garantía para una España unida sobre la base del respeto y la libre decisión de sus pueblos y sus gentes." Fdo: un capitalista desde Galapagar ¿Para qué sirve hoy la monarquía?; por Pablo Iglesias  vía @el_pais</t>
  </si>
  <si>
    <t>https://twitter.com/ANDRES_CANO42/status/1064559619543048192</t>
  </si>
  <si>
    <t>pic.twitter.com/YwDRLRB7TN</t>
  </si>
  <si>
    <t>Camas, España</t>
  </si>
  <si>
    <t>Bético. Estudiante de Periodismo US. Monitor deportivo CEDIFA. Entrenador Benjamín 3ª Andaluza del Camas CF. Sevillano, cofrade y taurino. 14❤️</t>
  </si>
  <si>
    <t>Miisogi Wright</t>
  </si>
  <si>
    <t>Realpolitik</t>
  </si>
  <si>
    <t>Muchas veces hemos oído la expresión "ser el tonto útil" Pues cada vez estoy más convencido que @sanchezcastejon es el tonto útil que necesita @Pablo_Iglesias_ para instaurar su dictadura bolivariana. Mientras Pedro viaja Pablo hace y deshace a su antojo 👉Dame pan y dime tonto</t>
  </si>
  <si>
    <t>Dentro de la TV del Junes</t>
  </si>
  <si>
    <t>1997. Valencia. Persona-user.</t>
  </si>
  <si>
    <t>http://twitch.tv/miisogi</t>
  </si>
  <si>
    <t>La libertad de expresión lleva consigo cierta libertad para escuchar (B.Marley)</t>
  </si>
  <si>
    <t>Sam</t>
  </si>
  <si>
    <t>Santa Cruz de Tenerife, España</t>
  </si>
  <si>
    <t>Normalizándome @samsualapolla</t>
  </si>
  <si>
    <t>Laia Sánchez</t>
  </si>
  <si>
    <t>Un més... DEP. ¿Cuantas muertes más debe haber para conseguir una ley más justa y que proteja al más débil? @sanchezcastejon @Pablo_Iglesias_ @JoanTarda @edugaresp #vadepersonas #PorUnaLeyJusta RT @AS_Ciclismo: Un ciclista de 56 años fallece en el acto tras ser atropellado por un vehículo en Lepe (Huelva) #PorUnaLeyJusta</t>
  </si>
  <si>
    <t>https://twitter.com/AS_Ciclismo/status/1064868390400077831
https://as.com/ciclismo/2018/11/20/mas_ciclismo/1542712204_702158.html</t>
  </si>
  <si>
    <t>Opinión de Pablo Iglesias.</t>
  </si>
  <si>
    <t>Barcelona, Espanya</t>
  </si>
  <si>
    <t>Politòloga especialitzada en urbanisme i sostenibilitat. Tècnica de la Generalitat de Catalunya a @territoricat. ''Non meno che saper, dubbiar m'aggrada''</t>
  </si>
  <si>
    <t>https://es.linkedin.com/in/laia-sánchez-16b385b5</t>
  </si>
  <si>
    <t>Politicos @sanchezcastejon @Pablo_Iglesias_ @Albert_Rivera que pasa con la bombona de butano? esto es serio joder!!</t>
  </si>
  <si>
    <t>Ripollet, Cataluña</t>
  </si>
  <si>
    <t>Profe Terrible</t>
  </si>
  <si>
    <t>Para que Pablo Iglesias no llegue a ser presidente de la República #ParaQuéSirveLaMonarquía</t>
  </si>
  <si>
    <t>Antonio</t>
  </si>
  <si>
    <t>Información. @PSOE #PSOE @sanchezcastejon @desdelamoncloa @AndaluciaJunta @PPopular @vox_es @CiudadanosCs @Santi_ABASCAL #Templarios #EspanaViva #MasAndalucia #AndaluciaPorEspaña @ahorapodemos @Pablo_Iglesias_ @pnique #Podemos RT @OdinT707: Financiación de Podemos y Pablo Iglesias. 🤔🇪🇸</t>
  </si>
  <si>
    <t>Licenciado en Historia. Profesor 3-60. Disney. Educación Pública. Honra y provecho. Antivegano, antibilingüismo. Vide cor meum. No se repite. VERDE.👑🇪🇸</t>
  </si>
  <si>
    <t>"Los bancos tienen que devolver el dinero por una cuestión de justicia. ¿Acaso los bancos perdonan las deudas? ¿Perdonaron las deudas a las familias desahuciadas? Claro que los bancos pueden devolver los 60.000 millones prestados". 👉 @Pablo_Iglesias_ en el #Pleno</t>
  </si>
  <si>
    <t>https://pbs.twimg.com/media/DsdBpOvXgAMDwbU.jpg</t>
  </si>
  <si>
    <t>https://pbs.twimg.com/media/DsdAKcNWwAAaYAz.png</t>
  </si>
  <si>
    <t>Rubén Pina</t>
  </si>
  <si>
    <t>Lo de @LeticiaDolera es "consejos vendo y para mí no tengo", como @Pablo_Iglesias_ y tantos otros. Haz lo que yo diga pero no lo que yo haga. Lo tuyo es mío y lo mío solo mío.</t>
  </si>
  <si>
    <t>“¿Y todo esto quién lo paga?” (Josep Pla). Lector, bibliófilo. Radicalmente moderado. Sapere Aude. Rt isn’t endorsement.</t>
  </si>
  <si>
    <t>Maria Sol Martin</t>
  </si>
  <si>
    <t>#Ilegalizacionpodemos IRRESPONSABLES INUTILES @AdaColau @ahorapodemos @pnique @MiguelUrban @ionebelarra @agarzon @Irene_Montero_ @RamonEspinar @MonederoJC @TeresaRodr_ @JM_Kichi @Pablo_Iglesias_ @ierrejon @BeatrizTalegon @iunida @MayoralRafa @Elisendalamany @LaFallaras RT @LuisLasala1: Para esto hemos pasado dos guerras mundiales en Europa? Para esto dieron su vida más de 100 millones de europeos?</t>
  </si>
  <si>
    <t>https://okdiario.com/espana/2017/06/12/pp-obligara-iglesias-explicar-senado-cuenta-272-000-paraiso-fiscal-1068194#.W_BTDKgEUmF.facebook</t>
  </si>
  <si>
    <t>https://twitter.com/LuisLasala1/status/1064810722281041923
https://somatemps.me/2016/10/16/iman-islamista-frances-las-mujeres-sin-velo-merecen-ser-violadas/amp/?__twitter_impression=true</t>
  </si>
  <si>
    <t>Casada, contable, amante de los animales..</t>
  </si>
  <si>
    <t>"No pagan". Pablo Iglesias presenta la Prop. para que la banca pague impuestos  @Pablo_Iglesias_ @ahorapodemos #FelizMartes</t>
  </si>
  <si>
    <t>https://youtu.be/LsX38asmDmU</t>
  </si>
  <si>
    <t>Elena Polo López</t>
  </si>
  <si>
    <t>Dice hoy @Pablo_Iglesias_ que hay que ser antifascista para ser democrático, yo estoy totalmente de acuerdo, pero habrá que ser también anticomunista ¿no? Vamos, digo yo.</t>
  </si>
  <si>
    <t>Austral Garcia</t>
  </si>
  <si>
    <t>Que de mal gusto no es la cosa. @unplebeyomas 😄. Como dice ⁦@YENNY0_LEE⁩ es de coherencia</t>
  </si>
  <si>
    <t>https://www.idealista.com/news/deco/casas-de-famosos/2018/05/16/765669-esta-es-la-casa-que-pablo-iglesias-e-irene-montero-se-han-comprado-en-madrid-y?amp=1</t>
  </si>
  <si>
    <t>Abogada y soñando con un autentico Estado de Derecho para Venezuela</t>
  </si>
  <si>
    <t>VÍDEO | @Pablo_Iglesias_: "De dignidad nada, Marchena ha negociado con el PP presidir el CGPJ"</t>
  </si>
  <si>
    <t>http://atres.red/jt8fe6</t>
  </si>
  <si>
    <t>¿#ParaQuéSirveLaMonarquía? Pues para evitarnos que un populista bolivariano como Pablo Iglesias o Echenique sean jefes de Estado.</t>
  </si>
  <si>
    <t>VÍDEO | @Pablo_Iglesias_: "De dignidad nada, Marchena ha negociado con el PP presidir el CGPJ" @DebatAlRojoVivo</t>
  </si>
  <si>
    <t>Karonte</t>
  </si>
  <si>
    <t>http://atres.red/jt8fe2</t>
  </si>
  <si>
    <t>Keoland</t>
  </si>
  <si>
    <t>Me duran más los condones que el boli BIC verde. Rojo y canario como el Clipper de Fresa @flejemilpenas</t>
  </si>
  <si>
    <t>https://curiouscat.me/tusputxsmuertxs</t>
  </si>
  <si>
    <t>Baelfire</t>
  </si>
  <si>
    <t>#Ilegalizacionpodemos IRRESPONSABLES @AdaColau @ahorapodemos @AhoraMadrid @pnique @MiguelUrban @ionebelarra @agarzon @Irene_Montero_ @RamonEspinar @MonederoJC @TeresaRodr_ @JM_Kichi @Pablo_Iglesias_ @ierrejon @BeatrizTalegon @iunida @MayoralRafa @Elisendalamany @LaFallaras RT @marubimo: ️Esto sucedio ayer en Puerto Banús (Marbella)..... un grupo de unos 40 nuevos cotizantes de los que van a contribuir al mantenimiento de nuestras pensiones, se enfrenta y arrincona a agentes de la Policía Local y Vigilantes de Seguridad. Y así todos los días!!!</t>
  </si>
  <si>
    <t>En Hyrule, colgao a un árbol.</t>
  </si>
  <si>
    <t>|| Birbs || Books and Art || Strong in the real way || @pajarodelterror</t>
  </si>
  <si>
    <t>https://www.instagram.com/byron.art/?hl=es</t>
  </si>
  <si>
    <t>https://twitter.com/marubimo/status/1064253651382927360</t>
  </si>
  <si>
    <t>pic.twitter.com/hE8lQi4Mrq</t>
  </si>
  <si>
    <t>Patricia</t>
  </si>
  <si>
    <t>A los partidos políticos: quitad vuestras sucias manos del CGPJ y de la justicia de una vez por todas @PPopular @PSOE @ahorapodemos @pablocasado_ @sanchezcastejon @Pablo_Iglesias_</t>
  </si>
  <si>
    <t>Rhiannon - 狼</t>
  </si>
  <si>
    <t>pic.twitter.com/yZhyxY65jh</t>
  </si>
  <si>
    <t>Espacio y opiniones personales</t>
  </si>
  <si>
    <t>The TARDIS</t>
  </si>
  <si>
    <t>🏳‍🌈 Lv. 21. I am thou, thour art I. Videojuegos. The face under the mask... is that... your true face?</t>
  </si>
  <si>
    <t>https://curiouscat.me/_VectorToHeaven</t>
  </si>
  <si>
    <t>Cuando vais a ilegalizar la. Exaltación del franquismo, tambien en las redes.@PSOE @PodemosCongreso @ahorapodemos @sanchezcastejon @Pablo_Iglesias_ @pnique @ionebelarra #IlegalizarFranquismo RT @LuisAlfBorbon: Te fuiste hace #43años, pero estás más #presente que #nunca. Tus #enemigos y unos #traidores a la #Patria no te olvidan, ni cesan de mencionarte.Otros muchos te seguimos recordando y rezando por ti.</t>
  </si>
  <si>
    <t>Lorenzo Pérez Blanes 🇪🇸</t>
  </si>
  <si>
    <t>Me ha gustado un vídeo de @YouTube ( - PABLO IGLESIAS HUMILLADO POR ECONOMISTA, comunista hipocrita e</t>
  </si>
  <si>
    <t>https://twitter.com/LuisAlfBorbon/status/1064657017569271808</t>
  </si>
  <si>
    <t>https://pbs.twimg.com/media/DsZr4yJWsAARuaR.jpg</t>
  </si>
  <si>
    <t>http://youtu.be/zDLC7ybzRUs?a</t>
  </si>
  <si>
    <t>"En una época de engaño universal, decir la verdad es un acto revolucionario."- George Orwell</t>
  </si>
  <si>
    <t>elbiso™</t>
  </si>
  <si>
    <t>miguel sanz-julià</t>
  </si>
  <si>
    <t>Ha dicho @Pablo_Iglesias_ que para ser demócrata hay que ser antifascista y siendo cierto, le aseguro que si Su Señoría no es anticomunista tampoco es demócrata, pues tan vergonzoso es ser Fascista al igual que Mussolini, como comunista que lo fue Stalin.</t>
  </si>
  <si>
    <t>💖💜💙</t>
  </si>
  <si>
    <t>Buenas noches maricones. Sí, los cuatro somos bifrutas. Orgullosos progenitores de 63 patos de goma y un Pikotaro. http://curiouscat.me/el_Biso_31</t>
  </si>
  <si>
    <t>☀️🍊🌴🌍</t>
  </si>
  <si>
    <t>sakura</t>
  </si>
  <si>
    <t>uno y otro</t>
  </si>
  <si>
    <t>Hoy 20-N tenemos a Franco más vivo que nunca en la persona de @pablocasado_ espero que @sanchezcastejon y @Pablo_Iglesias_ le den una paliza política en las próximas elecciones.. @porsellos</t>
  </si>
  <si>
    <t>Hollywoo 地獄の第二の輪</t>
  </si>
  <si>
    <t>tonight is the night that we might fail to give up ? @__lcfr</t>
  </si>
  <si>
    <t>Me ha gustado un vídeo de @YouTube ( - EL VÍDEO QUE PABLO IGLESIAS NO QUIERE QUE VEAS).</t>
  </si>
  <si>
    <t>Libros Catarata</t>
  </si>
  <si>
    <t>Madrid, 27 de noviembre. Presentación de de 'La izquierda que asaltó el algoritmo'. Intervendrán @Pablo_Iglesias_ Pablo Iglesias y @MonederoJC Juan Carlos Monedero, autor del libro. La cita es en Librería Blanquerna @CCBlanquerna a las 6 p.m.</t>
  </si>
  <si>
    <t>http://youtu.be/m66j1JQzVT0?a</t>
  </si>
  <si>
    <t>https://www.catarata.org/evento/madrid-juan-carlos-monedero-presenta-la-izquierda-que-salto-el-algoritmo/</t>
  </si>
  <si>
    <t>https://pbs.twimg.com/media/DscMlFaXcAEHfiJ.jpg</t>
  </si>
  <si>
    <t>Los Libros de la Catarata es un proyecto editorial independiente que pretende contribuir a la difusión de formas de pensamiento crítico desde 1990.</t>
  </si>
  <si>
    <t>http://www.catarata.org/</t>
  </si>
  <si>
    <t>Pepe Castejón🔻</t>
  </si>
  <si>
    <t>#EnPortada 📰 @ahorapodemos quiere fiscalizar y publicar cada pago de la industria a un médico. cc/ @Pablo_Iglesias_</t>
  </si>
  <si>
    <t>Aldea gala</t>
  </si>
  <si>
    <t>Actor, activista. Bordurio-bigotista.</t>
  </si>
  <si>
    <t>http://ellmeteco.wordpress.com</t>
  </si>
  <si>
    <t>https://pbs.twimg.com/media/Dscw_GuWoAAzNKX.jpg</t>
  </si>
  <si>
    <t>📽️ Intervención de @Pablo_Iglesias_ en el #Pleno del Congreso de los Diputados defendiendo la necesidad de un impuesto a la banca para rescatar a quienes realmente sufrieron la crisis y hacer justicia.</t>
  </si>
  <si>
    <t>https://twitter.com/i/broadcasts/1dRKZOoByLzGB</t>
  </si>
  <si>
    <t>deathpacito</t>
  </si>
  <si>
    <t>Murcia, Mordor</t>
  </si>
  <si>
    <t>macarrões com tomate uma deliça</t>
  </si>
  <si>
    <t>.@Pablo_Iglesias_ niega "dignidad" en la renuncia de Marchena y achaca su marcha a la "torpeza" de Cosidó</t>
  </si>
  <si>
    <t>https://www.europapress.es/nacional/noticia-pablo-iglesias-niega-dignidad-renuncia-marchena-achaca-marcha-torpeza-cosido-20181120144849.html</t>
  </si>
  <si>
    <t>PABLO IGLESIAS viene a APUNTALAR el RÉGIMEN del 78 🔗 LEALTAD POR LA LEALTAD, 📡 LaNaciónEsVenezuela,</t>
  </si>
  <si>
    <t>https://goo.gl/wu5ysz?mrd63=9061870388</t>
  </si>
  <si>
    <t>http://elperiodi.co/dbkmz1</t>
  </si>
  <si>
    <t>Eserita cinemático atamán de los cosacos del Tajo</t>
  </si>
  <si>
    <t>¿Alguna vez conociste a una celebridad? — Vi a Pablo Iglesias una vez.</t>
  </si>
  <si>
    <t>https://curiouscat.me/PaxPachona/post/713782016?t=1542892422</t>
  </si>
  <si>
    <t>Entre Badajoz y Sevilla</t>
  </si>
  <si>
    <t>Estudiante de Antropología en Sevilla, extremeño. Me gusta lo rural, lo libertario ; buena combinación, ¿eh? Bienvenidos, os quiero a todos</t>
  </si>
  <si>
    <t>http://dererumpachoris.blogspot.com.es/</t>
  </si>
  <si>
    <t>Aniuska Bolivar</t>
  </si>
  <si>
    <t>Atento señores de podemos... @Pablo_Iglesias_ @ierrejon</t>
  </si>
  <si>
    <t>https://pbs.twimg.com/media/Dsc2H2fXgAEIBV0.jpg</t>
  </si>
  <si>
    <t>Citizen of the world! Science lover and passionate about martial arts!</t>
  </si>
  <si>
    <t>Jotaerre Bokerón</t>
  </si>
  <si>
    <t>Libre Directo Tala</t>
  </si>
  <si>
    <t>Pablo Iglesias celebra con la familia Horcajuelo el hallazgo de los restos del sargento republicano fusilado en Talavera  @Pablo_Iglesias_</t>
  </si>
  <si>
    <t>https://www.libredirectotalavera.es/2018/11/20/pablo-iglesias-celebra-la-familia-horcajuelo-hallazgo-los-restos-del-sargento-republicano-fusilado-talavera/</t>
  </si>
  <si>
    <t>https://pbs.twimg.com/media/Dsc1jWtXcAACGoK.jpg</t>
  </si>
  <si>
    <t>http://www.libredirectotalavera.es</t>
  </si>
  <si>
    <t>CRUZ FERNANDEZ</t>
  </si>
  <si>
    <t>Hermann Tertsch cree que la monarquía sirve "para evitar que sea necesaria una guerra para impedir una dictadura de Pablo Iglesias" Este tio es idiota o está tan pasado de todo y tan lleno de rencor con la izquierda q salta lo q le viene a la cabeza sin pensar.</t>
  </si>
  <si>
    <t>#Ilegalizacionpodemos Fueraa @AdaColau @ahorapodemos @AhoraMadrid @pnique @MiguelUrban @ionebelarra @agarzon @Irene_Montero_ @RamonEspinar @MonederoJC @TeresaRodr_ @JM_Kichi @Pablo_Iglesias_ @ierrejon @BeatrizTalegon @iunida @MayoralRafa @Elisendalamany @LaFallaras @carlossmato RT @malztrunk: @TeresaRodr_ Pareces una estudiante q se ha aprendido todo de memoria sin haberlo entendido, con un discurso del siglo pasado:los jefes e el capital son lo malo, bla bla...al final vais a pactar con la mafia de @PSOE ! He apostado ya 5 euro con uno de tus fans por eso,más no quería riesgarse!</t>
  </si>
  <si>
    <t>https://twitter.com/malztrunk/status/1064684061980012547</t>
  </si>
  <si>
    <t>Persona comprometida con todo y con todos</t>
  </si>
  <si>
    <t>Lucio Recalde Zarat.</t>
  </si>
  <si>
    <t>Pablo Iglesias quiere la corona. Pero eso ya lo sabíamos.</t>
  </si>
  <si>
    <t>Carlos F Ramos</t>
  </si>
  <si>
    <t>En @ecvida: 'Cobro 11,3 euros la hora y las señoras de la limpieza, 9”: lo que ganan los médicos  @hermanntertsch estimado @Pablo_Iglesias_ los que hicieron “casi un milagro” con tus hijos nunca podrán pagarse ni la mitad de tu casa. Enhorabuena.</t>
  </si>
  <si>
    <t>https://www.elconfidencial.com/alma-corazon-vida/2018-06-06/medicos-salarios-precariedad-salario-dinero_1574348/</t>
  </si>
  <si>
    <t>Pamplona</t>
  </si>
  <si>
    <t>Formación de Adultos. Ahorro e invierto. Poder y política NO, gracias. Contrarian. Pamplona.</t>
  </si>
  <si>
    <t>http://www.luciorecalde.com</t>
  </si>
  <si>
    <t>Ferroliño</t>
  </si>
  <si>
    <t>Médico. Español. Heterosexual. Padre. políticamente incorrecto según para quién. Verdades como puños que algunos no quieren oír.</t>
  </si>
  <si>
    <t>LeyendaUrbana.2018</t>
  </si>
  <si>
    <t>Tan poco os importamos los Españoles, @sanchezcastejon @pablocasado_ @Pablo_Iglesias_ @Albert_Rivera como para que sepáis incapaces de poneros de acuerdo de una vez? RT @COPE: El anteproyecto de la ley de Reforma Educativa limita el crecimiento de los centros concertados. COPE ha tenido acceso al borrador del Gobierno que modifica la LOMCE. Por @carmenlabayen</t>
  </si>
  <si>
    <t>https://twitter.com/COPE/status/1064872236400721922
http://ww.cope.es/srztc1</t>
  </si>
  <si>
    <t>Raquel</t>
  </si>
  <si>
    <t>Lo que le pasa a @Pablo_Iglesias_ es que @sanchezcastejon no se lo lleva de viaje y se siente ninguneado... Pobrete!! #SanchezLargate y llévate a tus socios. #EleccionesGeneralesYA RT @elmundoes: El acuerdo entre Iglesias y Sánchez comienza a derrumbarse: "Los viajes al extranjero están muy bien, pero primero hay que trabajar en casa para lograr los apoyos".</t>
  </si>
  <si>
    <t>https://twitter.com/elmundoes/status/1064869244897296384
https://trib.al/HcZplSX</t>
  </si>
  <si>
    <t>Isla Perejil</t>
  </si>
  <si>
    <t>Hakuna Matata</t>
  </si>
  <si>
    <t>August Landmesser</t>
  </si>
  <si>
    <t>Dice Pablo Iglesias que el hecho de que el rey defienda la unidad de España debilita su imagen. Lo cierto es que Pablo Iglesias quiere socavar la imagen del rey para acabar con la unidad de España.</t>
  </si>
  <si>
    <t>Mira, en esto estoy de acuerdo con @Albert_Rivera algo es algo @sanchezcastejon @Pablo_Iglesias_ @pablocasado_ RT @europapress: Rivera pide a Sánchez y Casado que rompan el "pacto de la vergüenza" del CGPJ y cambien el sistema de nombramientos</t>
  </si>
  <si>
    <t>https://twitter.com/europapress/status/1064872451430117376
https://bit.ly/2S5YPi4</t>
  </si>
  <si>
    <t>https://pbs.twimg.com/media/Dscv2CgXcAAr-H1.jpg</t>
  </si>
  <si>
    <t>Samoa</t>
  </si>
  <si>
    <t>La indignación moral es la estrategia típica del idiota para dotarse de dignidad.</t>
  </si>
  <si>
    <t>Eusebio Cabral</t>
  </si>
  <si>
    <t>Red Hostel Montvideo</t>
  </si>
  <si>
    <t>!MUCHAS GRACIAS! A @SaraVilaG AUTORA DEL PROYECTO DE LEY QUE NOS PERMITIRÁ SER ESPAÑOLES MUY PRONTO. LOS HIJOS Y NIETOS DE ESPAÑOLES EN EL EXTERIOR SIEMPRE LO RECORDAREMOS. @CeDEU2 @podemosexterior @Pablo_Iglesias_ @TuHispanidad @PiliCancela @ConsueloRumi @NacionalidadYa2</t>
  </si>
  <si>
    <t>https://pbs.twimg.com/media/Dscx3FQXgAAVjAV.jpg</t>
  </si>
  <si>
    <t>Montevideo</t>
  </si>
  <si>
    <t>Es por lejos el mejor hostel de Montevideo mismo estando cerrado. Buscando nueva locación en el Mediterráneo para abrir desde el año 2020 hasta el 2030</t>
  </si>
  <si>
    <t>https://www.facebook.com/redhostel/</t>
  </si>
  <si>
    <t>http://atres.red/g7a2u2</t>
  </si>
  <si>
    <t>Dulcedelechoza</t>
  </si>
  <si>
    <t>EE.UU. se dispone a incluir a Venezuela en lista de patrocinadores del terrorismo  vía @ABC_Mundo TOMEN NOTA : @sanchezcastejon @Pablo_Iglesias_ @JosepBorrellF @MAECgob @desdelamoncloa @PSOE | @Albert_Rivera @CiudadanosCs @pablocasado_ @PPodemos @CasaReal</t>
  </si>
  <si>
    <t>https://www.abc.es/internacional/abci-eeuu-dispone-incluir-venezuela-lista-patrocinadores-terrorismo-201811200440_noticia.html#ns_campaign=rrss-inducido&amp;ns_mchannel=abc-es&amp;ns_source=tw&amp;ns_linkname=noticia-foto&amp;ns_fee=0</t>
  </si>
  <si>
    <t>Dice Pablo Iglesias que las monarquías europeas no son de mucha calidad democrática porque la jefatura del Estado se transfiere por herencia. Que el poder pasase de Fidel a Raúl o que Maduro gobierne sin Asamblea, en cambio, no carecen de calidad democrática.</t>
  </si>
  <si>
    <t>J17gonzález</t>
  </si>
  <si>
    <t>Me gusta que @Pablo_Iglesias_ no haya ido a Andalucía a hacer el canelo, como están haciendo Rivera, Casado y Abascal. Ya que se confía en @TeresaRodr_ me gusta que se le de protagonismo a las personas y representantes de la comunidad, es algo positivo.</t>
  </si>
  <si>
    <t>Santa Cruz de Tenerife</t>
  </si>
  <si>
    <t>Graduado en pedagogía,estudio trabajo social, amante del deporte y la música ,amigo de mis amigos,no creo el la perfección,la imperfección es lo que cautiva.</t>
  </si>
  <si>
    <t>amazona</t>
  </si>
  <si>
    <t>En contra de los viajes de @sanchezcastejon?? (yo también). Y le pides que primero hay que barrer para casa @Pablo_Iglesias_?? Pero a quien quieres engañar coletas cuando tu barres en pro de la dictadura venezolana y la discordia entre españoles</t>
  </si>
  <si>
    <t>https://amp.elmundo.es/espana/2018/11/20/5bf407ae46163f14b08b460e.html?__twitter_impression=true</t>
  </si>
  <si>
    <t>Valladolid, España</t>
  </si>
  <si>
    <t>Reflexiva, pero sobre todo paciente con aquellos que desprecian su patria. Defensora de los valores perdidos en España. 🇪🇸🇪🇸</t>
  </si>
  <si>
    <t>Javier Criado</t>
  </si>
  <si>
    <t>Me estoy acordando de cuando Pablo Iglesias decía aquello de: "que existan medios de comunicación privados ataca la libertad de expresión" 😂😂😂 Podemos cierra 'La mitad del camino', el periódico que lanzó para darse autobombo tras editar un solo número</t>
  </si>
  <si>
    <t>T.J</t>
  </si>
  <si>
    <t>#DiaMundialdelosNinos ahora que ya sois padres @Pablo_Iglesias_ e @Irene_Montero_ ¿Aún apoyáis al 'lerdo' de @evoespueblo con esa miserable ley?👇👇👇</t>
  </si>
  <si>
    <t>https://okdiario.com/espana/2018/11/22/podemos-cierra-granma-que-lanzo-darse-autobombo-editar-solo-numero-3375752#.W_ankTl_Wng.twitter</t>
  </si>
  <si>
    <t>https://pbs.twimg.com/media/Dscu47qXgAEJz5K.jpg</t>
  </si>
  <si>
    <t>Soy periodista y estoy en Twitter para opinar, no para ligar. GRACIAS. Apoyo a @jusapol en su lucha por la equiparación salarial. Aborto= Asesinato.</t>
  </si>
  <si>
    <t>Opinador de todo lo opinable. Sólo con un insulto te bloqueo, tu mism@ España indivisible.</t>
  </si>
  <si>
    <t>Efra Otxoa</t>
  </si>
  <si>
    <t>Es esto cierto esto @Pablo_Iglesias_ @agarzon @pnique?, Estáis de acuerdo con comprar y tabular nuestros datos y utilizarlos para hacer publicidad política directa?, esperaría al menos de las fuerzas progresistas una mayor defensa de la privacidad</t>
  </si>
  <si>
    <t>https://www.eldiario.es/tecnologia/partidos-enviarte-propaganda-politica-consentimiento_0_837466634.html</t>
  </si>
  <si>
    <t>flopa ن</t>
  </si>
  <si>
    <t>Mis resultados en esta historia. Pues bueno. Acierta en que estoy muy distanciado de Pablo Iglesias, la verdad.</t>
  </si>
  <si>
    <t>Málaga, Andalucía, Spain.</t>
  </si>
  <si>
    <t>Physics &amp; Science. Energy &amp; Development. Technology. Art. Music.</t>
  </si>
  <si>
    <t>https://pbs.twimg.com/media/Dsm9fo5WsAEqqmn.jpg</t>
  </si>
  <si>
    <t>“La democracia necesita de la virtud, si no quiere ir contra todo lo que pretende defender y estimular”. Juan Pablo II.</t>
  </si>
  <si>
    <t>📺 "Airbus está maltratando a sus trabajadores, de quienes depende nuestra seguridad. Dignidad y readmisión inmediata de los 70 trabajadores. Es una necesidad que tenemos todos los ciudadanos que cogemos aviones". @Pablo_Iglesias_ en @DebatAlRojoVivo</t>
  </si>
  <si>
    <t>https://pbs.twimg.com/media/Dscos71WoAAhb87.jpg</t>
  </si>
  <si>
    <t>Rapul Chescat</t>
  </si>
  <si>
    <t>¿Para qué sirve hoy la monarquía?; por Pablo Iglesias  @el_pais</t>
  </si>
  <si>
    <t>#MemoriaHistórica “Cuando pensamos en que tenemos servicios públicos, tenemos que pensar en todos aquellos que murieron porque sus hijos y nietos tuvieran un futuro mejor. Por eso la memoria histórica no tiene que ver con el pasado, es la gasolina del futuro”, @Pablo_Iglesias_</t>
  </si>
  <si>
    <t>https://pbs.twimg.com/media/Dscqs8SXcAAM_JU.jpg</t>
  </si>
  <si>
    <t>San Roque, España</t>
  </si>
  <si>
    <t>To look life in the face... always... instagram: rachescat</t>
  </si>
  <si>
    <t>📺“Hablar de los presupuestos no es hablar de intereses partidistas, es hablar de las cosas de comer. La gente en Cataluña y en España necesita dinero para la dependencia, que se acaben los recortes sanitarios, que los Ayuntamientos tengan recursos". 📽️ @Pablo_Iglesias_</t>
  </si>
  <si>
    <t>https://pbs.twimg.com/media/DscqapnXcAAiq4a.jpg</t>
  </si>
  <si>
    <t>Podemos Toledo</t>
  </si>
  <si>
    <t>"El miércoles acompañé a Enriqueta Horcajuelo en el homenaje a su padre Enrique, asesinado por la dictadura, poco después de iniciarse la exhumación por la que ha luchado toda la vida. Muy emocionado al saber que se han hallado sus restos. Enhorabuena Enriqueta." @Pablo_Iglesias_</t>
  </si>
  <si>
    <t>Pablo Iglesias pide "una nueva república" como garantía para "una España unida"</t>
  </si>
  <si>
    <t>pic.twitter.com/Jg9Rmx3r86</t>
  </si>
  <si>
    <t>https://ift.tt/2PMIAd1</t>
  </si>
  <si>
    <t>Cuenta oficial de Podemos Toledo. También en Facebook: http://facebook.com/podemostoledo y Telegram: http://telegram.me/podemostoledo</t>
  </si>
  <si>
    <t>http://podemostoledo.info/</t>
  </si>
  <si>
    <t>#DíaUniversalDelNiño #IgualesEnDerechos #CuidadosEnIgualdad #IgualTiempoEnFamilia P Europeo: interés superior del menor en políticas de conciliación @susanadiaz @sanchezcastejon @pablocasado_ @Pablo_Iglesias_ @agarzon @Albert_Rivera @SaveChildrenEs @unicef_es @OxfamIntermon RT @AsociacionMSPE: Los Menores Primero. Desde la @AsociacionMSPE pedimos que todos los menores sean iguales frente a la ley y los cuidados con independencia de su modelo familiar. #DíaUniversalDelNiño #IgualesEnDerechos #CuidadosEnIgualdad</t>
  </si>
  <si>
    <t>Carolina E. Cardona</t>
  </si>
  <si>
    <t>Aviso a navegantes: estos son los que fueron asesorados por Monedero, Pablo Iglesias, Errejón... ¿Esto es Podemos..? RT @TorresAren: EN #200AñosRepúblicaDeVenezuela NUNCA Se habían visto estás atrocidades como las que hace la GUARDIA NAZI-ONAL del DICTADOR NICOLÁS MADURO En el ESTADO FALCÓN VENEZUELA A los opositores alREGIMEN Y la comunidad internacional🤐 #21Nov #22Nov #FelizMiercoles</t>
  </si>
  <si>
    <t>https://twitter.com/AsociacionMSPE/status/1064827826636025858</t>
  </si>
  <si>
    <t>https://pbs.twimg.com/media/DscGR62WoAAz02S.jpg</t>
  </si>
  <si>
    <t>Lo único que se necesita para que el mal triunfe es que los hombres buenos no hagan nada. Edmund Burke</t>
  </si>
  <si>
    <t>Ricardo Portabales Jr.</t>
  </si>
  <si>
    <t>NO. No se puede hacer esto a las personas. Despedidos. Airbus suspende el contrato con una empresa cuyos trabajadores están en huelga. #Justice .@EsAirbus.@Airbus #Justicia #Justice .@sanchezcastejon.@Pablo_Iglesias_.@pablocasado_.@gabrielrufian.@agarzon</t>
  </si>
  <si>
    <t>Carlos Go</t>
  </si>
  <si>
    <t>https://www.google.es/amp/s/m.eldiario.es/economia/Airbus-contrato-subcontrata-indefinida-despidos_0_835016575.amp.html</t>
  </si>
  <si>
    <t>"...que a la jefatura del Estado se acceda por elecciones y no por fecundación sería profundizar en nuestra democracia." Tribuna | ¿Para qué sirve hoy la monarquía?; por Pablo Iglesias  via @el_pais</t>
  </si>
  <si>
    <t>Madrid-Spain</t>
  </si>
  <si>
    <t>Operación Nécora instruida por Baltasar Garzón(Testigo protegido)una de las familias mas protegidas de la historia de España Justice for my mother. R.P.Jr.🇪🇸</t>
  </si>
  <si>
    <t>https://www.facebook.com/profile.php?id=100006184578326</t>
  </si>
  <si>
    <t>Según @Pablo_Iglesias_ para ser demócrata hay que ser antifascista. Entonces para ser un buen demócrata ¿hay que pensar como usted?. ¿Que piensas de esto @Santi_ABASCAL?. Yo soy demócrata y no comparto las ideas de Pablo Iglesias alias "el chepas".</t>
  </si>
  <si>
    <t>Soy como soy. Si no te gusta haya tú</t>
  </si>
  <si>
    <t>gabricaxV5.4</t>
  </si>
  <si>
    <t>Pues desafío a cualquier partido político a que me envíe propaganda sin mi consentimiento. Habrán conseguido que no les vote. Así de claro: @sanchecastejon @Pablo_Iglesias_ @agarzon A Pablo Casado, Albert Rivera y a Santiago Abascal no les digo nada por razones obvias.</t>
  </si>
  <si>
    <t>Nací y vivo en Madrid Y cada vez tengo menos que decir. Esperando un amanecer de revolución que no termina de llegar. Maldita sea mi estampa.</t>
  </si>
  <si>
    <t>Dice Pablo Iglesias que la monarquía española está "predominantemente asociada a los privilegios y a la corrupción". Y eso es una puta mentira de un sinvergüenza financiado por Irán y Venezuela.</t>
  </si>
  <si>
    <t>Marilú Fdez.Alonso</t>
  </si>
  <si>
    <t>Si @rosadiezglez hubiera tenido la misma publicidad q tiene a diario @Pablo_Iglesias_ en las televisiones nacionales habría arrasado!</t>
  </si>
  <si>
    <t>Majadahonda, Madrid</t>
  </si>
  <si>
    <t>Habanera.Madre.Economista.Enamorada de Egipto. No progresas mejorando lo q ya esta hecho,sino esforzándote x lograr lo q aún esta x hacer Khalil Gibran</t>
  </si>
  <si>
    <t>http://talentaservices.com</t>
  </si>
  <si>
    <t>Que miedo tienes @pnique a unas elecciones. @Pablo_Iglesias_ también SABÉIS que no tendréis votos suficientes. Por eso estáis aguantando y asesorando a @sanchezcastejon que siga bajo vtras órdenes? Él, que no sabe resolver problemas, le ayudáis vtros.perderias la vigilancia casa RT @lasvegaseva_Eva: Echenique cree que las elecciones son "peligrosas" porque puede gobernar la derecha.</t>
  </si>
  <si>
    <t>https://twitter.com/lasvegaseva_Eva/status/1064453546605727744
https://www.vozpopuli.com/politica/Podemos-Echenique-elecciones-considera-peligroso_0_1192080890.html</t>
  </si>
  <si>
    <t>jjabierc   ...  خبير</t>
  </si>
  <si>
    <t>Vd. no demócrata @Pablo_Iglesias_ Vd. es un dictador en potencia, aunque también lo sea ya a pequeña escala, en su vida, en su partido... Vd. no lo fue ni siquiera en las aulas, y Vd. lo sabe. Diga lo que diga en #DebatAlRojoVivo</t>
  </si>
  <si>
    <t>Madrid. Roma. Casablanca.</t>
  </si>
  <si>
    <t>Publicitario/Periodista/Experto en comunicación/estimulación creativa emocional y motivacional. Diplomado Historia de la Cinematografía http://U.Va jjabierColmenares</t>
  </si>
  <si>
    <t>Ana A. Jiménez</t>
  </si>
  <si>
    <t>Me parece a mí que @Pablo_Iglesias_ ha estado un poco malhumorado hoy, en @DebatAlRojoVivo .</t>
  </si>
  <si>
    <t>Foro Abierto</t>
  </si>
  <si>
    <t>España: #AdelantoElectoral @euricocampano: "es imposible gobernar con 84 escaños. El exministro socialista Sebastián dijo, hace poco, que prefería prorrogar los presupuestos del PP. Pedro Sánchez puede arrebatar 20 escaños a Pablo iglesias, quitándole la bandera de la izquierda".</t>
  </si>
  <si>
    <t>Lectora. Observadora de la vida cotidiana. Licenciada en Historia.</t>
  </si>
  <si>
    <t>Programa de televisión dedicado al debate sobre la actualidad política, económica y social.</t>
  </si>
  <si>
    <t>#DiaUniversalDelNiño #IgualesEnDerechos con independencia de su modelo familiar. Resolución Parlamento Europeo #CuidadosEnIgualdad #IgualTiempoEnFamilia @IratxeGarper @susanadiaz @sanchezcastejon @pablocasado_ @Pablo_Iglesias_ @agarzon @Albert_Rivera @SaveChildrenEs @unicef_es RT @AsociacionMSPE: Los menores primero. Las niñas y niños de #FamiliasMonoparentales merecen el mismo derecho a tener #CuidadosEnIgualdad #DiaUniversalDelNiño @carmencalvo_ @sanchezcastejon @Albert_Rivera @Pablo_Iglesias_ @pablocasado_</t>
  </si>
  <si>
    <t>🎅 Alpakavideño 🎄</t>
  </si>
  <si>
    <t>https://twitter.com/AsociacionMSPE/status/1064843300983599104</t>
  </si>
  <si>
    <t>https://pbs.twimg.com/media/DscNisKWwAAtAby.jpg</t>
  </si>
  <si>
    <t>Mireia Caramazana</t>
  </si>
  <si>
    <t>De bilbo hostia</t>
  </si>
  <si>
    <t>Estudio animación y me gusta kung fu panda</t>
  </si>
  <si>
    <t>“Para ser demócrata hay que ser antifascista” dice ahora @Pablo_Iglesias_ en @DebatAlRojoVivo Pues sí, tiene razón. Parece obvio pero habrá que recordarlo y repertirlo todas las veces que haga falta #democracia</t>
  </si>
  <si>
    <t>Periodista (UAB) amb Màster d'Anàlisi Polític. Quan tinc temps, llegeixo o viatjo. Bookstagrammer a @SMyLibros Twitter personal.</t>
  </si>
  <si>
    <t>https://www.linkedin.com/pub/mireia-caramazana-esteve/47/39/51</t>
  </si>
  <si>
    <t>la de gafas a lo loco</t>
  </si>
  <si>
    <t>¿En serio?</t>
  </si>
  <si>
    <t>Para ser demócrata hay que ser antifascista dice @Pablo_Iglesias_ que se reúne con terroristas e independentistas catalanes que están apoyados por partidos europeos de ultraderecha...</t>
  </si>
  <si>
    <t>cuando era pequeña me bebí un bote de cristasol pero ahora estoy bien. Bisectriz . ERES ARTE🌺 candado: @almuoesocreo</t>
  </si>
  <si>
    <t>https://www.instagram.com/4lmu_/</t>
  </si>
  <si>
    <t>Nunca sabes lo que la vida te puede deparar...</t>
  </si>
  <si>
    <t>JordiOD</t>
  </si>
  <si>
    <t>Curioso, ahora en @EspejoPublico el @Albert_Rivera poniendo trabas a la exsumación del dictador y, en @DebatAlRojoVivo @Pablo_Iglesias_ defendiendo a los trabajadores en lucha de @TarjetasRojas</t>
  </si>
  <si>
    <t>Negro el Científico</t>
  </si>
  <si>
    <t>Santa Coloma de Gramenet, España</t>
  </si>
  <si>
    <t>Ciencia Ciencia Política</t>
  </si>
  <si>
    <t xml:space="preserve">Tenerife, Africa </t>
  </si>
  <si>
    <t>Soy un experto en Guaguas y en tomar malas decisiones en la vida. Siganme en mi cuenta Secundaria @Kaleid173 🇮🇨</t>
  </si>
  <si>
    <t>Susa Belotodo</t>
  </si>
  <si>
    <t>Pues nada, seguid peloteando y aupando al Ciudadano Rivera y sus discursos mediocres y demonizad a Podemos cuando estamos viendo en directo que el único que se está interesando por los trabajadores de Airbus y sabe de lo que habla es @Pablo_Iglesias_ #supremoplantonarv</t>
  </si>
  <si>
    <t>(Más o menos)</t>
  </si>
  <si>
    <t>Corresponsabilidad de la sociedad en los cuidados. Parlamento Europeo #DiaUniversalDelNiño #IgualesEnDerechos #CuidadosEnIgualdad @SaveChildrenEs @OxfamIntermon @unicef_es @IratxeGarper @susanadiaz @sanchezcastejon @Pablo_Iglesias_ @pablocasado_ @Albert_Rivera RT @AsociacionMSPE: Los menores primero. Para las #FamiliasMonoparentales la #corresponsabilidad debe estar cubierta por el estado #IgualesEnDerechos #CuidadosEnIgualdad #DiaUniversalDelNiño @unicef_es @SofCastanon @PSOE @SaveChildrenEs</t>
  </si>
  <si>
    <t>https://twitter.com/AsociacionMSPE/status/1064845812834947073</t>
  </si>
  <si>
    <t>https://pbs.twimg.com/media/DscP5ZvWwAAqz49.jpg</t>
  </si>
  <si>
    <t>ESPENSER TREISI</t>
  </si>
  <si>
    <t>#ParaQuéSirveLaMonarquía Para evitar que sectarios y totalitarios como Pablo Iglesias pueden llegar a ocupar algún día la Jefatura del Estado. Sólo por eso vale la pena preservar la institución sin menoscabo de restarle privilegios y controlarla mejor.</t>
  </si>
  <si>
    <t>📺 "El señor Marchena ha estado negociando cada día con el PP la presidencia del Consejo General del Poder Judicial. Así que de dignidad nada. El señor Marchena hacía política". @Pablo_Iglesias_ #SupremoPlantónARV</t>
  </si>
  <si>
    <t>pic.twitter.com/Hyzv8mgxoH</t>
  </si>
  <si>
    <t>Frente al Mediterráneo</t>
  </si>
  <si>
    <t>Vendedor de humo. Soportadolescentes.</t>
  </si>
  <si>
    <t>la chica leyendo esto</t>
  </si>
  <si>
    <t>Directo .@DebatAlRojoVivo. .@Pablo_Iglesias_ : "Creo que Cosidó debería dimitir" #SupremoPlantónARV Con estos whatsapp, el Partido Popular, reconoce que ha utilizado a la policía y a los jueces, para incumplir la Ley y para tapar su corrupción.</t>
  </si>
  <si>
    <t>https://pbs.twimg.com/media/Dsck2R8WsAAV9Bx.jpg</t>
  </si>
  <si>
    <t>Knowhere</t>
  </si>
  <si>
    <t>she/they ya me joderia q me gustase el love life no soy otaku soy 1 crack fiera maquina figura mastodonte fenomeno fichaje 1 lince d las praderas mesopotámicas</t>
  </si>
  <si>
    <t>https://twitter.com/Auripilante</t>
  </si>
  <si>
    <t>como impacta la imagen de ver en @EspejoPublico al falangito de @Albert_Rivera un político nefasto para la democracia y ver en @DebatAlRojoVivo al próximo presidente de este país, @Pablo_Iglesias_ RT @DebatAlRojoVivo: 🔴 Pablo Iglesias: "Creo que Cosidó debería dimitir" #SupremoPlantónARV | DIRECTO ➡</t>
  </si>
  <si>
    <t>https://twitter.com/DebatAlRojoVivo/status/1064859503668207617
http://atres.red/4ncii5668</t>
  </si>
  <si>
    <t>https://pbs.twimg.com/media/DsckEyCWsAA6yzQ.jpg</t>
  </si>
  <si>
    <t>COORD_ANDALUZA</t>
  </si>
  <si>
    <t>Es impresionante el logo de atrás @abalosmeco Defendiendo la vivienda y publicitando el Capital.😂 "Es Cierto @PSOE es muy social y muy muy para el pueblo"👏👏 @Pablo_Iglesias_ @sanchezcastejon eso se llama GOBERNAR PARA LA BANCA.. #PSOEBlanqueaLaBanca RT @europapress: Ábalos dice que la situación del precio de la vivienda en Madrid y Barcelona es "límite": "Te sientes inferior cuando solo puedes acceder a casas de bajísima calidad, es depresivo" #EPDesayunoÁbalos</t>
  </si>
  <si>
    <t>https://twitter.com/europapress/status/1064448975221121024
https://www.europapress.es/temas/jose-luis-abalos/</t>
  </si>
  <si>
    <t>https://pbs.twimg.com/media/DsWuslMUUAEFZTQ.jpg</t>
  </si>
  <si>
    <t>Las Pahs y Stop Desahucios de Andalucía están más unidas que nunca, Luchar por la vivienda es nuestro objetivo. coord.andaluza@gmail.com</t>
  </si>
  <si>
    <t>EIXRAVALNORD</t>
  </si>
  <si>
    <t>Delirio Sport</t>
  </si>
  <si>
    <t>PABLO IGLESIAS SE PREGUNTA #PARAQUÉSIRVELAMONARQUÍA: En nuestra redacción lo tenemos claro: si en lugar de votar cada año el Balón de Oro se declarara a Leo Messi el rey del fútbol hasta que se retire, el ganador siempre sería mucho más justo 👑</t>
  </si>
  <si>
    <t>Barçalona</t>
  </si>
  <si>
    <t>Parodia del mejor diario deportivo barcelonista del mundo. SEMPRE AMB EL BARÇA!</t>
  </si>
  <si>
    <t>http://www.sport.es</t>
  </si>
  <si>
    <t>ECP_Vila-seca</t>
  </si>
  <si>
    <t>📰 España es ya una democracia madura y avanzada que no debe seguir teniendo una forma de Gobierno propia del siglo XIV y que nada tiene que ver con un país feminista. 📝 #ParaQuéSirveLaMonarquía, artículo de Pablo Iglesias</t>
  </si>
  <si>
    <t>VIla-seca</t>
  </si>
  <si>
    <t>el cercle de Podem de Vila-seca neix amb la il·lusió dels veïns i veïnes del poble de canviar les coses, tenim ganes i PODEM!.</t>
  </si>
  <si>
    <t>http://www.podemosvilaseca.tk</t>
  </si>
  <si>
    <t>Bene Dicto</t>
  </si>
  <si>
    <t>A Pablo Iglesias, que practica una férrea monarquía absolutista en @ahorapodemos , no le gusta la monarquía española. Que no os engañe. A él sólo le jode que el monarca no es él:</t>
  </si>
  <si>
    <t>Sanlúcar de Barrameda, España</t>
  </si>
  <si>
    <t>Español. Antipodemoide y contra el marxismo cultural. #TeamFacha</t>
  </si>
  <si>
    <t>LCR</t>
  </si>
  <si>
    <t>mientras en el Congreso se daba una imagen deplorable ......Pablo iglesias y los suyos apoyando a la gente trabajadora en su LUCHA POR CONSERVAR SU PUESTO DE TRABAJO EN AIRBUS.</t>
  </si>
  <si>
    <t>https://pbs.twimg.com/media/Dsm6Rg6X4AIO3NP.jpg</t>
  </si>
  <si>
    <t>Demócrata mi lucha por la libertad nunca http://cejara.Soy Español de Verdad y respeto La libertad estaré donde se luche por LA DEMOCRACIA LIBERTAD y la Republica✊✊✊</t>
  </si>
  <si>
    <t>Dice Pablo Iglesias que a estalinistas y maoístas les decepcionó que no se produjera "una verdadera ruptura democrática con la dictadura". Para hacer la transición a la dictadura del proletariado, supongo.</t>
  </si>
  <si>
    <t>Todoroki versión mal</t>
  </si>
  <si>
    <t>Pablo Iglesias coge 🇪🇸 ESPAÑA 🇪🇸 y la HUNDE 👎🏻 el ANIME coge 🇪🇸 ESPAÑA 🇪🇸 y la deja SUGOI!!! 👍🏻💯✔ Copia y pega si estás de acuerdo 🇪🇸🇪🇸</t>
  </si>
  <si>
    <t>Biva mejico</t>
  </si>
  <si>
    <t>De vez en cuando pongo cosas to wuapas. Tengo unos 19 años. Viva el cine (el vino no, que me emborracho)</t>
  </si>
  <si>
    <t>ALCBDS_Asociaciones</t>
  </si>
  <si>
    <t>El domingo es el día reservado por la Muestras Local de Teatro para el teatro infantil. Este domingo es el turno de la asociación Druida Teatro y su obra "Haciendo diabluras" C.C. Pablo Iglesias. 12:00 h.</t>
  </si>
  <si>
    <t>https://pbs.twimg.com/media/Dsm5--OWoAA1zez.jpg</t>
  </si>
  <si>
    <t>Twitter oficial de Asociaciones del Ayuntamiento Alcobendas. Toda la información municipal de la Gran Ciudad de Alcobendas. http://www.alcobendas.org</t>
  </si>
  <si>
    <t>http://www.alcobendas.org/es/cargarFichaTerritorial.do?identificador=543</t>
  </si>
  <si>
    <t>🎗🎗🎗EL EQUIPO A 🎗🎗🎗</t>
  </si>
  <si>
    <t>Como se nota que el diario el Pais ha cambiado de manos. No hace ni 6 meses, el diario el Pais no concedia ni una sola entrevista a Pablo Iglesias👍😭👍😭👏👏👏👏👏😀😀😀😀🎵</t>
  </si>
  <si>
    <t>🎗🎗🎗💜💛💜SI TIENE USTED UN PROBLEMA Y LOS ENCUENTRA QUIZA PUEDA CONTRATARLOS💜💛💜✊✊✊😂🎗🎗🎗</t>
  </si>
  <si>
    <t>Vespertina</t>
  </si>
  <si>
    <t>Nunca dudes de que un grupo de ciudadanos, conscientes y comprometidos, pueden cambiar el mundo, de hecho, siempre ha sido así</t>
  </si>
  <si>
    <t>Dice Pablo Iglesias que el PCE de Santiago Carrillo en 1975 no tenía ningún poder pero tenía toda la legitimidad. Se referirá a la legitimidad de sus crímenes durante la guerra, a la legitimidad de su complicidad con la URSS y a la legitimidad de los escasos votos que tenía.</t>
  </si>
  <si>
    <t>Hoy es el 43 aniversario de la proclamación del Juan Carlos I como rey de España. Él inició la transición a la democracia. Pablo Iglesias que coja un libro de historia y sabrá #ParaQuéSirveLaMonarquía ¡¡¡ Viva el rey !!!</t>
  </si>
  <si>
    <t>https://pbs.twimg.com/media/Dsm4jk9WoAI-LRF.jpg</t>
  </si>
  <si>
    <t>Islas Canarias, España</t>
  </si>
  <si>
    <t>Jesús #BancaPública</t>
  </si>
  <si>
    <t>Pablo Iglesias pone sobre la mesa una voluntad republicana explícita. Cuando desapareció del programa, se lo reprochamos, en justicia. Ahora, se afirma que decirlo con la actual correlación de fuerzas es irresponsable. ¿Cuando nos preguntaremos qué hacemos nosotros al respecto?</t>
  </si>
  <si>
    <t>47°9' S, 126°43' W</t>
  </si>
  <si>
    <t>Creo que la razón humana es la luz de la Historia, que la Lucha de Clases es su motor y que el Amor es su objetivo total</t>
  </si>
  <si>
    <t>Diego Cabanillas</t>
  </si>
  <si>
    <t>#ParaQuéSirveLaMonarquía para que precisamente Pablo Iglesias diga que el Jefe del Estado se elige por razón de fecundación. Sí, él, que elige a la portavoz de su partido por capacidades diferentes a su valor como política.</t>
  </si>
  <si>
    <t>Mordor</t>
  </si>
  <si>
    <t>Licenciado en Periodismo, aunque polemista entre horas.</t>
  </si>
  <si>
    <t>Eugenio de la Cruz</t>
  </si>
  <si>
    <t>Va ser que NO , el argumento de Pablo Iglesias es pueril , si infantil . Ni el Rey tiene culpa del seudo referéndum de Octubre en Cataluña, ni necesitamos una Republica . Decir que el 15M es el soporte...</t>
  </si>
  <si>
    <t>Gallego, Asesor Laboral, Independiente. Adoro la antropología y la historia. Politólogo aficionado.</t>
  </si>
  <si>
    <t>https://www.facebook.com/eugeniodelacruzsilva</t>
  </si>
  <si>
    <t>#ReporteVecino</t>
  </si>
  <si>
    <t>Maracay, Venezuela</t>
  </si>
  <si>
    <t>Publicamos noticias y hacemos denuncias de los servicios necesarios para nuestros vecinos de Maracay síguenos y envía lo que necesita tu comunidad. #Maracay</t>
  </si>
  <si>
    <t>Se pregunta Pablo Iglesias para qué sirve la monarquía Para mi es más que obvio, sirve para evitar que gente cómo él, cuyo modelo es venezuela...tenga el poder de la jefatura del estado #VivaElRey</t>
  </si>
  <si>
    <t>Eva</t>
  </si>
  <si>
    <t xml:space="preserve">Entre Extremadura y Castilla </t>
  </si>
  <si>
    <t>#Española. Amo a mi país, mi familia, mi madre, mi hija y mi noviA. No soporto a los que quieren destruir mi país. No me caso con nadie</t>
  </si>
  <si>
    <t>Antonio Cabo</t>
  </si>
  <si>
    <t>El País se esconde en un artículo de Pablo Iglesias para masacrar a Felipe VI y hacerle un guiño a los golpistas. 'EL PAIS', HA PASADO DE SER LA GACETA DEL PSOE, A SER EL PANFLETO DEL 'PODEREVANCHISMO'. TODO UN LOGRO DE SU NUEVA directora.</t>
  </si>
  <si>
    <t>http://www.periodistadigital.com/periodismo/prensa/2018/11/22/elpais-esconde-articulo-pablo-iglesias-para-masacrar-felipe-vi-hacerle-guino-golpistas.shtml</t>
  </si>
  <si>
    <t>Sax - Alicante</t>
  </si>
  <si>
    <t>Católico. Español. Amante de las pequeñas cosas. Licenciado con 'aprobao-raspao' en la Universidad de la Vida.</t>
  </si>
  <si>
    <t>Pablo Iglesias se pregunta #ParaQuéSirveLaMonarquia y reivindica la república tirando de #JuegoDeTronos</t>
  </si>
  <si>
    <t>sarranchin</t>
  </si>
  <si>
    <t>Un buen artículo de Pablo Iglesias.......¡ magnífico! RT @Pablo_Iglesias_: España debe terminar de convertirse en una democracia moderna. Una nueva república será la mejor garantía para una España unida sobre la base del respeto y la libre decisión de sus pueblos y sus gentes. #ParaQuéSirveLaMonarquía.</t>
  </si>
  <si>
    <t>Madrid- Ciempozuelos</t>
  </si>
  <si>
    <t>Jubilado y amante de tiempos mejores sin mayorías que nos vacían los derechos y los bolsillos para los choricillos jJETAS de siempre.</t>
  </si>
  <si>
    <t>https://twitter.com//sarranchin</t>
  </si>
  <si>
    <t>Mario de las Heras</t>
  </si>
  <si>
    <t>Qué decepción de Tribuna, ni una sola referencia a Juego de Tronos: ¿Para qué sirve hoy la monarquía?; por Pablo Iglesias  vía @el_pais</t>
  </si>
  <si>
    <t>Escribo. La Galerna. Jot Down. Frontera D.</t>
  </si>
  <si>
    <t>Jose cale morales</t>
  </si>
  <si>
    <t>#ParaQuéSirveLaMonarquía Para defender la Unidad de España Para seguir parando golpes de estado como el de octubre del 17 en cataluña Para atraer inversiones extranjeras Para representar con dignidad a España Para que Pablo Iglesias, Etarras y golpistas, no destruyan un País.</t>
  </si>
  <si>
    <t>Linares. Jaen</t>
  </si>
  <si>
    <t>JOgando</t>
  </si>
  <si>
    <t>"O TEMPORA O MORES"... Tribuna | ¿Para qué sirve hoy la monarquía?; por Pablo Iglesias  vía @el_pais</t>
  </si>
  <si>
    <t>Madrid, España.</t>
  </si>
  <si>
    <t>F. Javier G. Ogando. Escritor, poeta... ¿Que otra cosa se puede ser?</t>
  </si>
  <si>
    <t>https://hombresnnombre.blogspot.com.es</t>
  </si>
  <si>
    <t>Pablo Iglesias, próximo editorialista de El País</t>
  </si>
  <si>
    <t>Rubén</t>
  </si>
  <si>
    <t>Salamanca/Mérida, España</t>
  </si>
  <si>
    <t>Músico. Estudio Ciencia Política y Administración Pública por la USAL. Socialista democrático. Federalista. Republicano.</t>
  </si>
  <si>
    <t>DanielCastillo</t>
  </si>
  <si>
    <t>Llberte,Egalite,Fraternite 🇪🇸🇪🇸🇪🇸🏍️🏍️🏍️🇨🇺🇨🇺🇳🇮🇳🇮🇧🇷🇧🇷🇫🇷🇫🇷</t>
  </si>
  <si>
    <t>HiroLight @BGW ❁</t>
  </si>
  <si>
    <t>Badajoz, Extremadura</t>
  </si>
  <si>
    <t>no</t>
  </si>
  <si>
    <t>https://www.youtube.com/channel/UCBJUtxV8jOW7RYIlC89emEA</t>
  </si>
  <si>
    <t>Drizzt</t>
  </si>
  <si>
    <t>Para Pablo Iglesias, Noruega, Suecia o Dinamarca no son modernas :) #ParaQueSirveLaMonarquia RT @Pablo_Iglesias_: España debe terminar de convertirse en una democracia moderna. Una nueva república será la mejor garantía para una España unida sobre la base del respeto y la libre decisión de sus pueblos y sus gentes. #ParaQuéSirveLaMonarquía.</t>
  </si>
  <si>
    <t>Forgotten Realms</t>
  </si>
  <si>
    <t>Perdido en los Reinos Olvidados</t>
  </si>
  <si>
    <t>http://icewinddale.blogspot.com</t>
  </si>
  <si>
    <t>Pato</t>
  </si>
  <si>
    <t>Lo más lejano a Pablo Iglesias 😅😅, muy cercano a Barack 😒😒.</t>
  </si>
  <si>
    <t>https://www.theguardian.com/world/ng-interactive/2018/nov/21/how-populist-are-you-quiz?CMP=share_btn_fb</t>
  </si>
  <si>
    <t>Quito</t>
  </si>
  <si>
    <t>La AKD y la música \m/, mis únicas verdades</t>
  </si>
  <si>
    <t>ᴅ ᴀ ɴ ɪ ᴇ ʟ 🇪🇸</t>
  </si>
  <si>
    <t>#ParaQuéSirveLaMonarquía Para que Pablo Iglesias nunca sea presidente de la hipotética ''República Popular Plurinacional Bolivariana y Castrista de España''</t>
  </si>
  <si>
    <t>Facha el que lo lea. Fan de @Eurovision.</t>
  </si>
  <si>
    <t>A Pablo Iglesias la monarquía española le parece un atraso antidemocrático. Pero las repúblicas comunistas de Cuba y de Venezuela le parecen de puta madre. ¡Y este es el que va de listo!</t>
  </si>
  <si>
    <t>Mario C. 🇪🇸</t>
  </si>
  <si>
    <t>Escribe Pablo Iglesias en El País, con todo el cinismo del mundo, que #ParaQuéSirveLaMonarquía. Que seríamos más democráticos si a la jefatura del Estado no se accediera por fecundación. También Podemos sería más democrático si no se accediera a su portavocía de la misma manera.</t>
  </si>
  <si>
    <t>Periodista. Política internacional, defensa y opiniones propias. Ovetense, asturiano, español. Pasé por Internacional en @lanuevaespana 🇪🇸</t>
  </si>
  <si>
    <t>carlos tubio abuin</t>
  </si>
  <si>
    <t>Minimo para que las fuerzas del estado no obedezcan totalmente y solo al presidente del gobierno y que un fanatico estilo pablo iglesias llegue al poder via votos y se quede en el via violencia #ParaQuéSirveLaMonarquía</t>
  </si>
  <si>
    <t>Kage no shinowobiu</t>
  </si>
  <si>
    <t>No me guata pablo iglesias, pero si tiene razon la tiene. RT @Pablo_Iglesias_: España debe terminar de convertirse en una democracia moderna. Una nueva república será la mejor garantía para una España unida sobre la base del respeto y la libre decisión de sus pueblos y sus gentes. #ParaQuéSirveLaMonarquía.</t>
  </si>
  <si>
    <t>West city</t>
  </si>
  <si>
    <t>Permiteme ayudarte a usar tus alas, mientras tanto yo tengo espacio💙 (30)//Ya que lees mis tweets leelos con voz bonita ostia//Gohan de @Yuihirazawa3 🖤</t>
  </si>
  <si>
    <t>https://curiouscat.me/Kage_no_shinobiu</t>
  </si>
  <si>
    <t>(Pablo Iglesias pide "una nueva república" como garantía para "una España unida") publicado en Slay Multimedios</t>
  </si>
  <si>
    <t>https://www.slaymultimedios.com/pablo-iglesias-pide-una-nueva-repblica-como-garanta-para-una-espaa-unida/</t>
  </si>
  <si>
    <t>Pablo Iglesias pide "una nueva república" como garantía para "una España unida" - BARCELONA (Sputnik) — El secretario general de Podemos, Pablo Iglesias, asegura que la proclamación de "una nueva república" ...</t>
  </si>
  <si>
    <t>http://bit.ly/2Fz6zaQ</t>
  </si>
  <si>
    <t>Jacobson Naufragado</t>
  </si>
  <si>
    <t>La Monarquía sirve para que Pablo Iglesias no sea jefe del Estado. Solo con eso ya es un régimen deseable. RT @Pablo_Iglesias_: España debe terminar de convertirse en una democracia moderna. Una nueva república será la mejor garantía para una España unida sobre la base del respeto y la libre decisión de sus pueblos y sus gentes. #ParaQuéSirveLaMonarquía.</t>
  </si>
  <si>
    <t>Industrial de Provincia</t>
  </si>
  <si>
    <t>Antes tenía una contraportada de Alberto Moravia pero el logaritmo que todo destruye, lo persigue y censura todo. Un Harry Lime del subdesarrollo</t>
  </si>
  <si>
    <t>HINOJOS</t>
  </si>
  <si>
    <t>En España</t>
  </si>
  <si>
    <t>He vivido intensamente 78 años dedicados a mi familia y a mi país y sigo con la intención de disfrutar de lo mismo.</t>
  </si>
  <si>
    <t>Juan Poz</t>
  </si>
  <si>
    <t>Pozaforismo: Hablar por hablar no multiplica, resta. Proverbio castellano: Nadie es más que nadie.</t>
  </si>
  <si>
    <t>http://diariodeunartistadesencajado.blogspot.com.es/</t>
  </si>
  <si>
    <t>cubanosenmalaga</t>
  </si>
  <si>
    <t>SER CULTOS PARA SER LIBRES. José Martí.</t>
  </si>
  <si>
    <t>Agustín M. Altés</t>
  </si>
  <si>
    <t>Para contestar al Comunista bananero-bolivariano @Pablo_Iglesias : La monarquía sirve para tener un jefe de Estado de TODOS los españoles, y no a un presidente de república que obedece los dictados, consignas e ideología de un partido político contra los que no le votan.</t>
  </si>
  <si>
    <t>En 🐸 ➡️ aaltes | Para defender la cultura y tradición Occidental sólo hay una vía : Reconquista. | Identitario y liberal. #StopIslam</t>
  </si>
  <si>
    <t>έxsuℓes.</t>
  </si>
  <si>
    <t>#ParaQuéSirveLaMonarquía Simplemte, para que tipos como Zapatero, Rajoy, Sánchez o Pablo Iglesias no lleguen a ser presidentes de la Republica...preferible pisar mierda de pájaro a de perro. Quizás algún día podamos.</t>
  </si>
  <si>
    <t>https://pbs.twimg.com/media/DsmyJ42WsAA8ife.jpg</t>
  </si>
  <si>
    <t>Sevilla, Reino de España 🇪🇸</t>
  </si>
  <si>
    <t>Hasta derribar las murallas de Jericó... S.F.C</t>
  </si>
  <si>
    <t>http://www.alvaromieres.wordpress.com</t>
  </si>
  <si>
    <t>Huelva, España</t>
  </si>
  <si>
    <t>Juan Alberti</t>
  </si>
  <si>
    <t>de andar por casa</t>
  </si>
  <si>
    <t>https://juanalberti.wixsite.com/deandarporcasa</t>
  </si>
  <si>
    <t>CMC</t>
  </si>
  <si>
    <t>Si eso fuera verdad, Pablo Iglesias no sería republicano, que nos conocemos ya todos, hombre. RT @libertaddigital: Iglesias utiliza 'El País' para atacar a la monarquía: "Una nueva república será la mejor garantía para una España unida"</t>
  </si>
  <si>
    <t>Pierdetiempo.</t>
  </si>
  <si>
    <t>https://sptnkne.ws/kdgc</t>
  </si>
  <si>
    <t>García Trevijano PUNTUALIZA las palabras de Pablo Iglesias sobre ETA 🌎 Tumulto, 🔗 Prescripción,</t>
  </si>
  <si>
    <t>https://goo.gl/Xos4oc?yrn47=1565013329</t>
  </si>
  <si>
    <t>mariano molina</t>
  </si>
  <si>
    <t>aranjuez</t>
  </si>
  <si>
    <t>Un obrero prejubilado de telefónica, comunista hasta la muerte.</t>
  </si>
  <si>
    <t>AVATMA</t>
  </si>
  <si>
    <t>⠀⠀⠀⠀⠀⠀⠀⠀ 🦌Estas imágenes demuestran la crueldad y ensañamiento de la caza con los animales. ⠀⠀⠀⠀⠀⠀⠀⠀ ✍️ Es muy importante que firmes:  ⠀⠀⠀⠀⠀⠀⠀⠀ 📷 vía @publico.es ➡️ http:// #CazaEsViolencia</t>
  </si>
  <si>
    <t>http://www.bit.ly/CazaEsViolencia
http://bit.ly/5VideosCaza</t>
  </si>
  <si>
    <t>https://pbs.twimg.com/media/Dsmw1_gXcAAcF-_.jpg</t>
  </si>
  <si>
    <t>Asociación de Veterinarios Abolicionistas de la Tauromaquia y del Maltrato Animal</t>
  </si>
  <si>
    <t>http://www.avatma.com</t>
  </si>
  <si>
    <t>Pablo Ortin Perpinyà</t>
  </si>
  <si>
    <t>Biar, País Valencià</t>
  </si>
  <si>
    <t>Periodista. Del sud del sud. Somrieu, perquè guanyarem</t>
  </si>
  <si>
    <t>Oskar Rikkardo</t>
  </si>
  <si>
    <t>🈁 PLANIFICADO POR EL COLETAS PABLO IGLESIAS. 🇪🇸🇨🇺 Por primera vez en 32 años un gobernante español visita Cuba</t>
  </si>
  <si>
    <t>http://j.mp/2TwdrZx</t>
  </si>
  <si>
    <t xml:space="preserve">Al Este de Edén </t>
  </si>
  <si>
    <t>Italiano*canario*argentino*británico*ecuatoriano*venezolano ★ Es preferible 1 Día de León que 100 Años de Cordero ★ 💪</t>
  </si>
  <si>
    <t>http://page.is/oscar-riccardo</t>
  </si>
  <si>
    <t>ANTI RUINOSOS IZQUIERDISTAS</t>
  </si>
  <si>
    <t>El verdadero Pablo Iglesias  vía @YouTube</t>
  </si>
  <si>
    <t>https://youtu.be/ovQyfpW1sYE</t>
  </si>
  <si>
    <t>EEUU</t>
  </si>
  <si>
    <t>Anti comunista anti populistas</t>
  </si>
  <si>
    <t>Paciencia a ras</t>
  </si>
  <si>
    <t>📹 Pablo Iglesias: “Nuestro país está ocho puntos por debajo de la media de ingresos del Estado”</t>
  </si>
  <si>
    <t>Oviedo</t>
  </si>
  <si>
    <t>https://tmblr.co/ZlmiWn2d-CIwV</t>
  </si>
  <si>
    <t>Cansado de que los maleducados me exijan educación.</t>
  </si>
  <si>
    <t>http://pacienciaras.tumblr.com/</t>
  </si>
  <si>
    <t>@PodemosAlmonte</t>
  </si>
  <si>
    <t>España necesita dar los últimos pasos para convertirse en una democracia moderna y plural, en una España de la que nadie quiera marcharse. 📝 Pablo Iglesias habla de ello en su artículo #ParaQuéSirveLaMonarquía.</t>
  </si>
  <si>
    <t>https://pbs.twimg.com/media/DslzH3NWoAAQp6c.jpg</t>
  </si>
  <si>
    <t>Almonte, (Huelva) España</t>
  </si>
  <si>
    <t>Círculo Podemos Almonte.</t>
  </si>
  <si>
    <t>Antonya,Tyty (#aol)🔻</t>
  </si>
  <si>
    <t>Me ha gustado un vídeo de @YouTube ( - Pablo Iglesias desenmascara a una periodista en TVE).</t>
  </si>
  <si>
    <t>http://youtu.be/jluhSmkwN_s?a</t>
  </si>
  <si>
    <t>@FSA_AOL &amp; FANCLUBSPAINAOLO &amp; http://facebook.com/groups/FANCLUB… Delicious Aol http://facebook.com/pages/Deliciou…</t>
  </si>
  <si>
    <t>http://antonyasantyago.blogspot.com/</t>
  </si>
  <si>
    <t>gabrielregino</t>
  </si>
  <si>
    <t>Tribuna | ¿Para qué sirve hoy la monarquía?; por Pablo Iglesias</t>
  </si>
  <si>
    <t>Más allá de la duda razonable</t>
  </si>
  <si>
    <t>Abogado Penalista. Profesor de Criminología y Sistema Acusatorio en la UNAM. Titular de REGINO ABOGADOS.</t>
  </si>
  <si>
    <t>http://www.reginoabogados.com</t>
  </si>
  <si>
    <t>Adry👻👻</t>
  </si>
  <si>
    <t>Pablo Iglesias surfeando en su impulso constituyente apuesta hoy en EL PAIS por la oportunidad de un presidente de las nuevas ‘claves identitarias’ en alza (homosexual o feminista) en una república colorista, para redimirnos de la fecundidad monárquica.</t>
  </si>
  <si>
    <t>Tomsk, Rusia</t>
  </si>
  <si>
    <t>D2 and World of Tanks on Xbox too</t>
  </si>
  <si>
    <t>Nevermore 🇪🇺</t>
  </si>
  <si>
    <t>A ver si lo que molesta más bien es que Carmena esté fuera del radar de Pablo Iglesias más que otra cosa anteponiendo la debacle electoral que se avecina. RT @suma_cero: Cuando Carmena con este "Forza Manuela", va contra los partidos no lo hace desde la demanda de mayor democracia y control de abajo a arriba, sino de menos controles a su figura caudillista. Más Berlusconi que 15M</t>
  </si>
  <si>
    <t>https://twitter.com/suma_cero/status/1065543501927067648
https://www.huffingtonpost.es/pilar-portero-y-ana-canil/mas-madrid-la-nueva-plataforma-de-carmena_a_23596684/?utm_hp_ref=es-homepage</t>
  </si>
  <si>
    <t>Twin Peaks, WA</t>
  </si>
  <si>
    <t>The owls are not what they seem. Intentando que el desarrollo de software no termine de secarme el cerebro y poder ezkribihir.</t>
  </si>
  <si>
    <t>Isabel Fernández</t>
  </si>
  <si>
    <t>Tribuna | ¿Para qué sirve hoy la #monarquía?; por Pablo Iglesias  vía @el_pais</t>
  </si>
  <si>
    <t>Únete a mí ...</t>
  </si>
  <si>
    <t>http://www.oficinavirtualhoy.com</t>
  </si>
  <si>
    <t>Alicia</t>
  </si>
  <si>
    <t>Yo añadiría: Para q no nos represente alguien como Rajoy, Aznar, Puyoll, Zapatero o Pablo Iglesias, etc. Y xq, prefiero un jefe de Estado neutral que un líder de partido. RT @MonarquiaEspana: #ParaQuéSirveLaMonarquía Para dar estabilidad a la Nación Para defender la Unidad de España Para seguir parando golpes de estado como el de octubre del 17 en cataluña Para atraer inversiones extranjeras Para representar con dignidad a España Para moderar la vida política</t>
  </si>
  <si>
    <t>https://twitter.com/MonarquiaEspana/status/1065533125919420416</t>
  </si>
  <si>
    <t>https://pbs.twimg.com/media/DsmIuU7WwAEyJQD.jpg</t>
  </si>
  <si>
    <t>juanma</t>
  </si>
  <si>
    <t>Arcos City</t>
  </si>
  <si>
    <t>Contribuidor de memes a nivel europeo número uno // @quienunfortnite</t>
  </si>
  <si>
    <t>https://myanimelist.net/profile/JuanmaofArcos</t>
  </si>
  <si>
    <t>Jaime Iribarren</t>
  </si>
  <si>
    <t>La III República española será posible cuando se constituyan las repúblicas catalana y vasco-navarra. Y no al revés porque en España no hay fuerza suficiente para ello. Tribuna | ¿Para qué sirve hoy la monarquía?; por Pablo Iglesias  vía @el_pais</t>
  </si>
  <si>
    <t>Euskal ezkertiar independentista</t>
  </si>
  <si>
    <t>vuelvo a ser garci</t>
  </si>
  <si>
    <t>Se ha quedao buena tarde, me gusta jojos</t>
  </si>
  <si>
    <t>https://curiouscat.me/Garci</t>
  </si>
  <si>
    <t>Rubén Pérez</t>
  </si>
  <si>
    <t>Un ejemplo de los videos que graban los cazadores y que circulan por Whatsapp y redes sociales 📹 A esta salvajada el .@deportegob lo considera una "actividad deportiva"... ✏️ Firma la petición  👉 Apoya la campaña</t>
  </si>
  <si>
    <t>http://www.bit.ly/CazaEsViolencia
http://www.bit.ly/hazteteamer</t>
  </si>
  <si>
    <t>pic.twitter.com/yLoIkmZf1E</t>
  </si>
  <si>
    <t>Poño a voz en @sentouradas e @LiberaONG. Traballador Social. Tecendo velas coa @mareatlantica e @En_Marea. Fago campañas coa @ffw_ch</t>
  </si>
  <si>
    <t>Izquierda Revolucionaria</t>
  </si>
  <si>
    <t>Pablo Iglesias escribe hoy en El País un bochornoso artículo que asume todas las mentiras del Régimen sobre la Transición. Es falso que la Monarquía no sirva para nada: es un pilar fundamental del capitalismo español ¡y sólo caerá luchando en las calles! #ParaQuéSirveLaMonarquía</t>
  </si>
  <si>
    <t>https://pbs.twimg.com/media/DsmrxBNX4AEa7s6.jpg</t>
  </si>
  <si>
    <t>Estado español</t>
  </si>
  <si>
    <t>Organización marxista en lucha por la transformación socialista de la sociedad. Editamos el periódico #ElMilitante. Sección española del CIT / @Socialist_World.</t>
  </si>
  <si>
    <t>http://izquierdarevolucionaria.net</t>
  </si>
  <si>
    <t>Albert Grec</t>
  </si>
  <si>
    <t>... Increíble el nivel garrafal de enajenación que hay que atestiguar en la gente de España que aún cree entender , referente a temas de seudo-politica profunda . "Pablo iglesias" y su mierda abstracta de " Soremos " @georgesoros haces muy bien tu labor , decrépito demonio 🚮 RT @agarzon: Muy buen artículo de @Pablo_Iglesias_ publicado hoy: “¿Para qué sirve hoy la monarquía?” Totalmente de acuerdo con su conclusión: una nueva república será la mejor garantía para una España unida, justa y democrática.</t>
  </si>
  <si>
    <t>https://twitter.com/elespanolcom/status/1064484484404383747
https://www.elespanol.com/espana/20181119/echenique-indefensas-posibles-votantes-pp-cs-vox/354464929_0.html</t>
  </si>
  <si>
    <t>JohnnyGoodbye</t>
  </si>
  <si>
    <t>Republica si España será republicana.. Tribuna | ¿Para qué sirve hoy la monarquía?; por Pablo Iglesias  vía @el_pais</t>
  </si>
  <si>
    <t>Anticapitalista! Anarquista. Necesitamos una Revolución Social, Política y una Evolución de conciencia..</t>
  </si>
  <si>
    <t>https://goo.gl/maps/sbwPpZUwCSK2</t>
  </si>
  <si>
    <t>Guillermo Vadillo</t>
  </si>
  <si>
    <t>El País publicando un artículo sobre la monarquía escrito por Pablo Iglesias. Pero luego te vienen a vender que son un medio con rigor periodístico y esas chorradas. Altavoces de sus amos y nada más.</t>
  </si>
  <si>
    <t>Ciudad Real</t>
  </si>
  <si>
    <t>Historiador y aspirante a profesor. Madridista y apasionado del balonmano. Español, manchego y católico. Informarse es esencial para opinar con criterio.</t>
  </si>
  <si>
    <t>Vicente Lozano</t>
  </si>
  <si>
    <t>Hoy, 22 de noviembre, es aniversario de la proclamación como rey de Juan Carlos I. Es significativo que el artículo sobre el tema que más destaca en la prensa es el de Pablo Iglesias que se titula "¿Para qué sirve la monarquía?"</t>
  </si>
  <si>
    <t>Majadahonda, Madrid (Spain)</t>
  </si>
  <si>
    <t>Ph.D. en Periodismo (Internet y la prensa económica). Redactor jefe y columnista de El Mundo. De Cartagena.</t>
  </si>
  <si>
    <t>http://paradojasysinsentidos.blogspot.com/</t>
  </si>
  <si>
    <t>Francisco José</t>
  </si>
  <si>
    <t>Oskar</t>
  </si>
  <si>
    <t>Alcorcón, España</t>
  </si>
  <si>
    <t>Padre,antifascista,republicano aprendiendo a ser feminista,pacifista,enfrente de las injusticias inscrito en podemos miembro de @cirplazapodemos 🔻✊🏻❤️💛💜‼️</t>
  </si>
  <si>
    <t>Arevalaids</t>
  </si>
  <si>
    <t>Con tu prima</t>
  </si>
  <si>
    <t>No voy a contaros mi vida, no vale la pena.</t>
  </si>
  <si>
    <t>🇪🇸IsMoR🇪🇸</t>
  </si>
  <si>
    <t>Dedicado a todas las personas que no son monárquicas: España necesita a un jefe de Estado honorable como Felipe VI simplemente para que no se pueda dar la posibilidad de que tipos como Pablo Iglesias puedan serlo nunca. Quieren quitar la monarquía pero para ponerse ellos.</t>
  </si>
  <si>
    <t>Viva España, viva el Rey.</t>
  </si>
  <si>
    <t>The 🅱oi de nuevo</t>
  </si>
  <si>
    <t>Entre pueblo lavanda y Huelva</t>
  </si>
  <si>
    <t>Tengo una alpaca arcoiris || Amo, dueño y señor de los memes ||JOJO|| Calidad 100% || Animu || Lot of unpopular opinions</t>
  </si>
  <si>
    <t>Cyo San</t>
  </si>
  <si>
    <t>Nou món</t>
  </si>
  <si>
    <t>a ♡ sicheng</t>
  </si>
  <si>
    <t>eyes on you, @jaebeowom</t>
  </si>
  <si>
    <t>‧₊˚.˚☽ (#董思成) 𝑡𝑜 𝑡𝘩𝑒 𝑏𝑟𝑖𝑔𝘩𝑡𝑒𝑠𝑡 𝑠𝑡𝑎𝑟𝑠 𝑖𝑛 𝑚𝑦 𝑠𝑘𝑦, @yugyecutie</t>
  </si>
  <si>
    <t>marco saxofon</t>
  </si>
  <si>
    <t>En la mierda</t>
  </si>
  <si>
    <t>https://soundcloud.com/marcopolo-24</t>
  </si>
  <si>
    <t>Bruselas, Bélgica</t>
  </si>
  <si>
    <t>ＳＥＳＡ</t>
  </si>
  <si>
    <t>#FNCWIN</t>
  </si>
  <si>
    <t>【 =◈︿◈=】</t>
  </si>
  <si>
    <t>くそー！</t>
  </si>
  <si>
    <t>uhhhhhhhhhhhhhhhhhhhhhhhh</t>
  </si>
  <si>
    <t>Eusk</t>
  </si>
  <si>
    <t>ODIAME POR SER OTAKU ADELANTE,ESTAS EN TU DERECHO,ABLA AMIS ESPALDAS Y AZ DE MI VIDA UN INFIERNO,LO AGUANTARE CON UNA SONRIDSA EN LA CARA,INSULTA AL ANIME,A ALG</t>
  </si>
  <si>
    <t>sтιcкү❂</t>
  </si>
  <si>
    <t>Arizona, USA</t>
  </si>
  <si>
    <t>Un ángel en tierra cumpliendo condena.</t>
  </si>
  <si>
    <t>http://curiouscat.me/lilsticky</t>
  </si>
  <si>
    <t>【=◈︿◈=】 @BGW</t>
  </si>
  <si>
    <t>chico atemporal cuenta personal</t>
  </si>
  <si>
    <t>Bosque Academo Atena</t>
  </si>
  <si>
    <t>como cazatalentos solo Iván Redondo  se podría comparar con Cifuentes  en informática o Esperanza Aguirre  en política</t>
  </si>
  <si>
    <t>http://nzzl.us/uL1pw9V
http://nzzl.us/RFUkgp7
http://www.tiradecontacto.net/665219224/?p=1406</t>
  </si>
  <si>
    <t>Athens</t>
  </si>
  <si>
    <t>#Revolution #sidiBouzid #15m #Weare99 #UnidadPopular20D #oWs</t>
  </si>
  <si>
    <t>http://clearfile.blogspot.com</t>
  </si>
  <si>
    <t>España no es una democracia plena, por eso Pablo Iglesias puede escribir un artículo contra la monarquía en el periódico más leído del país. Todo ok. RT @Pablo_Iglesias_: España debe terminar de convertirse en una democracia moderna. Una nueva república será la mejor garantía para una España unida sobre la base del respeto y la libre decisión de sus pueblos y sus gentes. #ParaQuéSirveLaMonarquía.</t>
  </si>
  <si>
    <t>Tritemio</t>
  </si>
  <si>
    <t>Ahora que Sánchez viaja a Cuba es el momento de cambiarles los restos de San.Franco por los de Fidel y llevarlos al Valle de los Caídos para que Pablo Iglesias pueda rendir homenaje a un demócrata de los de verdad.</t>
  </si>
  <si>
    <t>Experto en automatas programables, energías y Sonido. Inventor del control de la eficiencia productiva de los procesos productivos industriales en tiempo real</t>
  </si>
  <si>
    <t>Juan J. Maicas</t>
  </si>
  <si>
    <t>Pablo Iglesias- Enric Juliana. Teatro Principal. 26 noviembre, 19h. Zaragoza.</t>
  </si>
  <si>
    <t>https://pbs.twimg.com/media/DsmmPqTXQAA35Ee.jpg</t>
  </si>
  <si>
    <t>#IberianPenínsula.  (¬‿¬)</t>
  </si>
  <si>
    <t>Escribo, leo, viajo. De cada cual según su capacidad, a cada cual según su necesidad. Ni dieu ni maître. Instagram: ropavieja94</t>
  </si>
  <si>
    <t>http://lulu.com/ropavieja</t>
  </si>
  <si>
    <t>José Mansilla</t>
  </si>
  <si>
    <t>Antropólogo y profesor-lector #estudiosurbanos #movimientossociales #turismo #sociología #memoria #desarrollo. Me levanto temprano. També a l'@OACU_UB</t>
  </si>
  <si>
    <t>http://antroperplejo.wordpress.com/</t>
  </si>
  <si>
    <t>Tomás F. Terrados 🇪🇸</t>
  </si>
  <si>
    <t>#ParaQuéSirveLaMonarquía entre otras cosas para evitar mantener un Pedro Sánchez o un Pablo Iglesias nuevo, de por vida, cada cuatro años..</t>
  </si>
  <si>
    <t>Pa'yá pa' buscar un prunus...</t>
  </si>
  <si>
    <t>liberal, Chowchero, Gestor Náutico y Julista..El nazismo y el comunismo son indefendibles. en esa edad en la que le vas a ir a vacilar a tu p..a madre #LET</t>
  </si>
  <si>
    <t>jose antonio gomez s</t>
  </si>
  <si>
    <t>Podemos San Lorenzo</t>
  </si>
  <si>
    <t>Compartimos el artículo de Pablo Iglesias sobre #ParaQuéSirveLaMonarquía. Y tú ¿Para que piensas que sirve hoy la monarquía?</t>
  </si>
  <si>
    <t>http://ow.ly/u70j30mI9yd</t>
  </si>
  <si>
    <t>San Lorenzo de El Escorial</t>
  </si>
  <si>
    <t>Pulposaurio</t>
  </si>
  <si>
    <t>¿Alguna vez conociste a una celebridad? — Mmm Pablo Iglesias cuenta?</t>
  </si>
  <si>
    <t>https://curiouscat.me/Pulposaurus/post/713698205?t=1542884880</t>
  </si>
  <si>
    <t>Distrito Pulpo</t>
  </si>
  <si>
    <t>Mi sueño siempre ha sido ser un niño repelente que te corrige cada vez que te equivocas, pero para eso hay que ser un poco listo.</t>
  </si>
  <si>
    <t>https://curiouscat.me/Pulposaurus</t>
  </si>
  <si>
    <t>Maria Luz Serra Garazo</t>
  </si>
  <si>
    <t>MrB. Coop.</t>
  </si>
  <si>
    <t>Pablo Iglesias diciendo en El País que hay que huir del cesarismo. Ver para creer, Pablo Iglesias contra el cesarismo. 😂😂 #ParaQuéSirveLaMonarquía</t>
  </si>
  <si>
    <t>https://pbs.twimg.com/media/DsmjPZlWkAATi4x.jpg</t>
  </si>
  <si>
    <t>26. Licenciado en Derecho. En mis ratos libres oposito a judicaturas.</t>
  </si>
  <si>
    <t>JEMAGO PAGUEY</t>
  </si>
  <si>
    <t>¿Señora Montero, Vd. se imagina al Sr. Gabriel Rufián, al Sr. Pablo Iglesias o al Sr. Junqueras como Presidentes de la República Española? RT @Irene_Montero_: La monarquía es hoy una institución que divide. España necesita más democracia, más fraternidad, menos privilegios para los de siempre, más igualdad. Es lo que escribe hoy @Pablo_Iglesias_ en este artículo👇🏽🗞 #ParaQuéSirveLaMonarquía</t>
  </si>
  <si>
    <t>Optimista, osado y soñador 🙋‍♂️</t>
  </si>
  <si>
    <t>ALCON ABOGADOS</t>
  </si>
  <si>
    <t>Me pasa solo a mi o no os parece q Pablo Iglesias últimamente no para de tuitear?</t>
  </si>
  <si>
    <t>Despacho pluridisciplinar. Titular Lourdes Pulido Alcón.- Civil. Penal. Familia. Accidentes. Negligencias. Mas de 30 años de experiencia en Tribunales.</t>
  </si>
  <si>
    <t>http://alconabogados.com</t>
  </si>
  <si>
    <t>francisco romero</t>
  </si>
  <si>
    <t>Pablo Iglesias: “La gente está harta del espectáculo que estamos dando”</t>
  </si>
  <si>
    <t>https://elpais.com/politica/2018/11/14/actualidad/1542191299_860667.html?id_externo_rsoc=FB_CC</t>
  </si>
  <si>
    <t>españa</t>
  </si>
  <si>
    <t>superviviente</t>
  </si>
  <si>
    <t>J A Mendez</t>
  </si>
  <si>
    <t>Sevilla-Andalucía-España</t>
  </si>
  <si>
    <t>Habr nacio sevillano,mira q suert.En la pila dl bautism empcé a qererte.Yo no ambiciono riqzas, blasones ni poderío,solo qiero una Giralda mirándse sobr el rio.</t>
  </si>
  <si>
    <t>Vos a Diario</t>
  </si>
  <si>
    <t>"Es interesante un dato que uno de mis hijos que está en tercer año, en 12 años perdió casi 2 en total de dias perdidos", afirmó Pablo Iglesias</t>
  </si>
  <si>
    <t>General Roca, Argentina</t>
  </si>
  <si>
    <t>Programa periodistico emitido de lunes a viernes de 7 a 10 en FM 100.9 Conductor Hugo Alonso co-conducción Daniela Castro y Facundo Rumene</t>
  </si>
  <si>
    <t>http://www.rionegro.com.ar</t>
  </si>
  <si>
    <t>"Mi hijo tuvo 75 dias completos, con la asistencia de todos los docentes. La ley establece los 190 días y terminan siendo 160, y no la estamos cumpliendo", agregó Pablo Iglesias.</t>
  </si>
  <si>
    <t>En Nuestra Plaza: ¿Para que sirve hoy la Monarquía? [Pablo Iglesias]</t>
  </si>
  <si>
    <t>https://ift.tt/2DGi8u6</t>
  </si>
  <si>
    <t>Francisca</t>
  </si>
  <si>
    <t>Madrid. No pienso callar.</t>
  </si>
  <si>
    <t>Asociación Libera!</t>
  </si>
  <si>
    <t>Más de 33.000 personas en 72h piden tipificar como DELITO el maltrato de animales silvestres, así como prohibir el uso de perros en cacerías. ✏️ Firma la petición  👉 Apoya la campaña</t>
  </si>
  <si>
    <t>https://pbs.twimg.com/media/DsmfqTYXcAANRZI.jpg</t>
  </si>
  <si>
    <t>Concienciamos sobre la explotación que sufren los animales y trabajamos en iniciativas sociales, políticas y legislativas para defenderlos.</t>
  </si>
  <si>
    <t>http://www.liberaong.org/</t>
  </si>
  <si>
    <t>Diego Jiménez 🇪🇸</t>
  </si>
  <si>
    <t>Qué bonito es sacar a la palestra el #ParaQuéSirveLaMonarquía desde tu chalet de Galapagar y predicando el 'Somos la gente'. Demagogia, la palabra que más representa a Pablo Iglesias y a @ahorapodemos. Que no os engañen, comunistas.</t>
  </si>
  <si>
    <t>La Rioja, ESPAÑA</t>
  </si>
  <si>
    <t>Defendiendo mi libertad de expresión de aquellos que la atacan amparados por la que consideran suya. Que no te engañen.</t>
  </si>
  <si>
    <t>http://www.marcaespana.es/</t>
  </si>
  <si>
    <t>CarlosFirnhaber</t>
  </si>
  <si>
    <t>Asi en 1998 en Vzla nos preguntaban #ParaQueSirveLaDemocracia , hoy 20 años despues no con palabras sino con hechos, podemos afirmar que gran error cometimos los Venezolanos. Pablo Iglesias otro corrupto que junto a Podemos desfalco CADIVI. RT @MonarquiaEspana: #ParaQuéSirveLaMonarquía Para dar estabilidad a la Nación Para defender la Unidad de España Para seguir parando golpes de estado como el de octubre del 17 en cataluña Para atraer inversiones extranjeras Para representar con dignidad a España Para moderar la vida política</t>
  </si>
  <si>
    <t>Maracaibo. Edo Zulia.</t>
  </si>
  <si>
    <t>Zuliano, Amante de la justicia, demócrata. Enamorado de mis hijos, Venezuela y nuestra gente. Siempre Vinotinto! Primero Justicia</t>
  </si>
  <si>
    <t>#aire Pablo Iglesias,docente. "Los dias de clases que tuvimos en este 2018 ronda entre los 155 a 158 dias. La muestra la hice en dos escuelas públicas y una privada. El calendario provincial prevee 190 dias. Las clases deberían terminar el 14/11"</t>
  </si>
  <si>
    <t>Rafa Vaquero</t>
  </si>
  <si>
    <t>Samurai Negre</t>
  </si>
  <si>
    <t>MAGNIFICO ARTICULO DE PABLO IGLESIAS. Tribuna | ¿Para qué sirve hoy la monarquía?; por Pablo Iglesias  vía @el_pais</t>
  </si>
  <si>
    <t>Catalunya. Barcelona, Teiá</t>
  </si>
  <si>
    <t>-Sóc català del Seny y la Rauxa - I'm Catalán from Catalonia, sensible and enthusiastic. -Ich bin Katalane der Vernunft und der Begeisterung. 😃</t>
  </si>
  <si>
    <t>El aplaudido argumento de Pablo Iglesias en defensa de Dani Mateo tras lo que está pasando con el juez de las hip...</t>
  </si>
  <si>
    <t>https://www.huffingtonpost.es/2018/11/06/el-aplaudido-argumento-de-pablo-iglesias-en-defensa-de-dani-mateo-tras-lo-que-esta-pasando-con-el-juez-de-las-hipotecas_a_23581181/</t>
  </si>
  <si>
    <t>https://pbs.twimg.com/media/DsmdSEiXcAAlh46.jpg</t>
  </si>
  <si>
    <t>La Ráfaga Escrita</t>
  </si>
  <si>
    <t>CLARO Y CONCISO... ¿Para qué sirve hoy la monarquía?; por Pablo Iglesias  vía @el_pais</t>
  </si>
  <si>
    <t>Lucha, lucha y mas lucha. Trabajo, trabajo y mas trabajo. Constancia, constancia y más constancia; para seguir teniendo Patria...!!</t>
  </si>
  <si>
    <t>https://plus.google.com/u/0/114788824377933101417</t>
  </si>
  <si>
    <t>Juan de Amberes</t>
  </si>
  <si>
    <t>Para que tipejos como Pablo Iglesias nunca lleguen a ser reyezuelos republicanos. ¿Os parece poca razón...? #paraquésirvelamonarquía</t>
  </si>
  <si>
    <t>Lleno de odio y rencor. De extrema extrema derecha. Radicalizándome.</t>
  </si>
  <si>
    <t>JMª Moncasi</t>
  </si>
  <si>
    <t>A la atención de @Pablo_Iglesias. La monarquía parlamentaria, encarnada perfectamente en el rey Felipe VI, es la mejor garantía para una España unida sobre la base del respeto y la libre decisión de sus pueblos y sus gentes.</t>
  </si>
  <si>
    <t>Married. Father of 2. #literatura #libros #escribir #swimming #LibrosRecomendados. #books #narrative. Learning to be a writer. #MuchoLikeYpocoCorazón.</t>
  </si>
  <si>
    <t>https://www.linkedin.com/in/MoncasideAlvear/</t>
  </si>
  <si>
    <t>Mrcds Gonval</t>
  </si>
  <si>
    <t>¡Vaya, Pablemos mencionando ESPAÑA hasta 10 veces! "¿Para qué sirve hoy la monarquía?; por Pablo Iglesias"  vía @el_pais</t>
  </si>
  <si>
    <t>"Nunca rompas el silencio si no es para mejorarlo"🎼</t>
  </si>
  <si>
    <t>GranCanariaTV</t>
  </si>
  <si>
    <t>¿Para qué sirve El Rey? Pablo Iglesias #ParaQuéSirveLaMonarquía #FelizJueves Más Madrid  vía @YouTube</t>
  </si>
  <si>
    <t>https://youtu.be/d9AGuhHRLvs</t>
  </si>
  <si>
    <t>http://www.GranCanariaTV.com nace con la intención de convertirse en un medio de comunicación donde todos pueden participar.</t>
  </si>
  <si>
    <t>http://www.GranCanariaTV.com</t>
  </si>
  <si>
    <t>PPepero Rabioso</t>
  </si>
  <si>
    <t>Me tienen bloqueados los 2 cuñados mayores del Reino: Albert Rivera y Toni Cantó.. :_)</t>
  </si>
  <si>
    <t>Juanma Alamo</t>
  </si>
  <si>
    <t>Pablo Iglesias escribe en El Pais.. ¿puede alguien decirle que no se trata de reconocer lo evidente, si no de pedir perdón por el terrible dolor? Este chico es absurdo en sí mismo.</t>
  </si>
  <si>
    <t>https://pbs.twimg.com/media/Dsmcq7oWsAAyclM.jpg</t>
  </si>
  <si>
    <t>Leganés Comunidad de Madrid</t>
  </si>
  <si>
    <t>El éxito en la vida se mide por el equilibrio que adquieres en ella. Enmudecido. Periodista cuando trabajo. Activista en rojiblanco. Un sueño: LEGANEWS</t>
  </si>
  <si>
    <t>http://www.leganews.es</t>
  </si>
  <si>
    <t>VCD</t>
  </si>
  <si>
    <t>Todos los progres están publicando el link a este artículo de Pablo Iglesias. Curiosamente todos lo acompañan del comentario “Lectura Obligatoria”. Efectivamente: el artículo está escrito para que regresen las “lecturas obligatorias”. Las cosas de Iglesias</t>
  </si>
  <si>
    <t>Torrelavega</t>
  </si>
  <si>
    <t>Currante, discutón, divertido...</t>
  </si>
  <si>
    <t>Vaya jeta de hormigón armado tiene Pablo Iglesias. Como elegiste a tu cúpula, gañan? #ParaQuéSirveLaMonarquía</t>
  </si>
  <si>
    <t>Sergio Estremera</t>
  </si>
  <si>
    <t>Ajedrecista</t>
  </si>
  <si>
    <t>Basta ya de manipular el lenguaje y la realidad acerca del CGPJ. Por Rodolfo Arévalo</t>
  </si>
  <si>
    <t>https://lapaseata.net/2018/11/21/basta-ya-pablo-iglesias/</t>
  </si>
  <si>
    <t>#ParaQuéSirveLaMonarquía la verdad, tan justo me parece el modo de elección de la Monarquía que como elige Pablo Iglesias la portavocía de Podemos.</t>
  </si>
  <si>
    <t>🤶</t>
  </si>
  <si>
    <t>Hostia está Pablo Iglesias en el seminario</t>
  </si>
  <si>
    <t>Nani?</t>
  </si>
  <si>
    <t>https://swinger3000.deviantart.com/</t>
  </si>
  <si>
    <t>Andrea Caba 🎗</t>
  </si>
  <si>
    <t>"Si el 23-F reforzó a Juan Carlos, el 3 de octubre debilitó a Felipe VI, que no fue capaz de erigirse como símbolo de diálogo, sino como símbolo de la autoridad" Heu llegit l'article de Pablo Iglesias #ParaQuéSirveLaMonarquía a @el_pais? Què en penseu? 🤔</t>
  </si>
  <si>
    <t>Comunicació i Indústries Culturals, UB</t>
  </si>
  <si>
    <t>Esteban Guerra U.</t>
  </si>
  <si>
    <t>El «conservadurismo de los símbolos», como dice Pablo Iglesias, no le permite, y por ahora parece que no les permitirá, a las fuerzas democráticas alternativas construir verdaderas "mayorías sociales" para gobernar en Colombia.</t>
  </si>
  <si>
    <t>Politólogo. Un espacio para hablar de política y de fútbol.</t>
  </si>
  <si>
    <t>Carlos González</t>
  </si>
  <si>
    <t>¿Para qué sirve hoy la monarquía? | Opinión | EL PAÍS por Pablo Iglesias</t>
  </si>
  <si>
    <t>Pensionista...hasta que dure. Harto de cleptómanos y corruptos. Indignado tirando a cabreado y...engañado.</t>
  </si>
  <si>
    <t>Luis Ramón Gonzalez</t>
  </si>
  <si>
    <t>#ParaQuéSirveLaMonarquía Para evitar que falsos como Pablo Iglesias conviertan España en una Venezuela muerta de hambre,y toda está banda pueda destruir España VIVA EL REY FELIPE VI VIVA ESPAÑA</t>
  </si>
  <si>
    <t>https://pbs.twimg.com/media/DsmZmp5XoAAO5yW.jpg</t>
  </si>
  <si>
    <t>Punta Umbría, España</t>
  </si>
  <si>
    <t>España y los Españoles nuestro gran tesoro</t>
  </si>
  <si>
    <t>El Capitán Trueno</t>
  </si>
  <si>
    <t>Este esputoman es miembro de la UGT. Está dicho todo ¡qué degeneración la de la izda. española! ¡Si Pablo Iglesias Pose levantara la cabeza! RT @Societatcc: La fijación con Borrell de Jordi Salvador, el diputado que le insultaba y acabó escupiéndole</t>
  </si>
  <si>
    <t>https://twitter.com/Societatcc/status/1065544183233085440
https://www.elespanol.com/espana/politica/20181122/fijacion-borrell-jordi-salvador-diputado-insultaba-escupiendole/354965622_0.html</t>
  </si>
  <si>
    <t>Barcelona (Tabarnia, España)</t>
  </si>
  <si>
    <t>Por una Cataluña plural, abierta, libre, igualitaria, solidaria, integrada con naturalidad en la nación de ciudadanos que es España: una Cataluña ilustrada</t>
  </si>
  <si>
    <t>http://trueno3.blogspot.com.es</t>
  </si>
  <si>
    <t>J. J. Gálvez</t>
  </si>
  <si>
    <t>Escribe Pablo Iglesias en @el_pais: "De la misma manera, que a la jefatura del Estado se acceda por elecciones y no por fecundación sería profundizar en nuestra democracia"</t>
  </si>
  <si>
    <t>Sevillano</t>
  </si>
  <si>
    <t>Periodista. EL PAÍS. jgalvez@elpais.es</t>
  </si>
  <si>
    <t>http://elpais.com/autor/jose_maria_jimenez_galvez/a/</t>
  </si>
  <si>
    <t>Manuel Corpa</t>
  </si>
  <si>
    <t>La ruptura democrática fue traicionada por Gonzalez en 1982. Pidió el voto para el cambio y fue él quien cambió. Ahora el hedor de las cloacas monarco-franquista es insoportable. Tribuna | ¿Para qué sirve hoy la monarquía?; por Pablo Iglesias  vía @el_pais</t>
  </si>
  <si>
    <t>Dr. en CC.PP. por la Universidad Complutense de Madrid. Con lustros de indignación</t>
  </si>
  <si>
    <t>Daniel Faura</t>
  </si>
  <si>
    <t>" La calidad democrática de un sistema político sí puede medirse" ¿Para qué sirve hoy la monarquía?; por Pablo Iglesias  vía @el_pais</t>
  </si>
  <si>
    <t>Rebesnet de Segimon Faura, Mestre Ferrador al Berguedà. Vitalitat, Compromís i Consciència</t>
  </si>
  <si>
    <t>Alberto C. de P.</t>
  </si>
  <si>
    <t>Muy mesurada, pero rotunda, reflexión de Pablo Iglesias sobre la monarquía hoy en @elpais_opinion, cuando se cumplen 43 años exactos de la coronación de Juan Carlos I.</t>
  </si>
  <si>
    <t>Madrid / Bernardos (SG)</t>
  </si>
  <si>
    <t>31. Politólogo. 🇪🇺 Me dejan enseñar Historia en la Fac. de Políticas de la UCM. RRII,Política, Napoleón, Espartero,Prim y demás espadones. Trenes. 🇮🇹s(i)empre</t>
  </si>
  <si>
    <t>El Debate de Hoy</t>
  </si>
  <si>
    <t>Análisis y reflexión sobre los asuntos que marcan la actualidad. Para opinar y dialogar. Participa en el debate.</t>
  </si>
  <si>
    <t>https://eldebatedehoy.es/</t>
  </si>
  <si>
    <t>Carmelo Jordá</t>
  </si>
  <si>
    <t>Periodista de Madrid, trabajo en Libertad Digital y esRadio, escribo y hablo de política, viajes y más cosas ¿demasiadas? También en http://instagram.com/carmelo.jorda</t>
  </si>
  <si>
    <t>http://www.libertaddigital.com/opinion/carmelo-jorda/</t>
  </si>
  <si>
    <t>paqui atienza reyes</t>
  </si>
  <si>
    <t>#ParaQueSirveLaMonarquia Una nueva república será la mejor garantía para una España unida sobre la base del respeto y la libre decisión de sus pueblos y sus gentes Tribuna | ¿Para qué sirve hoy la monarquía?; por Pablo Iglesias  vía @el_pais</t>
  </si>
  <si>
    <t>Sanlúcar de Bda.</t>
  </si>
  <si>
    <t>Hola soy la Paca o Paqui de Sanlúcar, sigo aquí, revolucionaria, dispuesta a cambiar el mundo, que llegue un día que nadie se crea mejor que nadie.</t>
  </si>
  <si>
    <t>ARKAITZ</t>
  </si>
  <si>
    <t>MIS DOCUMENTOS</t>
  </si>
  <si>
    <t>LA HISTORIA ES NUESTRA Y LA HACEN LOS PUEBLOSLIBRESY SOBERANOS UNID@SPODEMOS2018cambiodeparadigmamundialDDHH VALORESHUMANOS DE TOD@SL@SNIÑ@S</t>
  </si>
  <si>
    <t>http://si0.twimg.com/profile_images/216248567/che-face.jpg</t>
  </si>
  <si>
    <t>Guaje Salvaje</t>
  </si>
  <si>
    <t>Para defender la república y atacar la monarquía Pablo Iglesias usa clichés populistas. Emplea la figura del Rey como cabeza de turco para tapar las incapacidades del Frente Popular. ¿Para qué sirve la monarquía del Reino Unido, Suecia, Dinamarca, Holanda?</t>
  </si>
  <si>
    <t>Otro miembro anónimo de la mayoría silenciosa. Un catalán no indepe que no acepta ser un ciudadano de segunda</t>
  </si>
  <si>
    <t>Seb Castilla.</t>
  </si>
  <si>
    <t>A la mierda Pablo Iglesias y sus mierdas podemitas. #ParaQuéSirveLaMonarquía</t>
  </si>
  <si>
    <t>https://pbs.twimg.com/media/DsmWJVFWkAAVbcT.jpg</t>
  </si>
  <si>
    <t>Sin patria, pero sin amo. José Martí. Me crié en la Habana. Ex de muchas cosas.</t>
  </si>
  <si>
    <t>El Bigote Inkómodo</t>
  </si>
  <si>
    <t>Triste ver a Sanchez de#Espana visitando a los criminales de #Cuba, como en su momento hizo toda la corte sudamericana de corruptos afiliados al Foro de Sao Paulo. Sanchez y su carnal Rodriguez Zapatero terminaron siendo marionetas de Pablo Iglesias.</t>
  </si>
  <si>
    <t>Komodo Islands, Pacific Ocean.</t>
  </si>
  <si>
    <t>En esta cuenta tenemos de todo, como en ferretería de pueblo y pensamos que la Libertad es poder decirle a cualquiera lo que no quiere oír.</t>
  </si>
  <si>
    <t>Lino</t>
  </si>
  <si>
    <t>c tangana me recuerda a pablo iglesias cuando empezó a crecer podemos haciendo el ridículo pa que no se olviden de él</t>
  </si>
  <si>
    <t>Poseído por el ritmo ragatanga.</t>
  </si>
  <si>
    <t>http://adliro.blogspot.com.es</t>
  </si>
  <si>
    <t>No voy a leer el artículo porque no me interesa lo que tiene que decir Pablo Iglesias sobre casi ningún tema, pero sí voy a decir una cosa, si es Podemos quién va a guíar a la izquierda hacía una república, estamos JODIDOS.</t>
  </si>
  <si>
    <t>SANTIAGO LUIS GARCÍA</t>
  </si>
  <si>
    <t>AsilVestraOಠ</t>
  </si>
  <si>
    <t>"Instituciones que protejan a la gente antes que figuras de autoridad inamovibles" Interesante artículo de Pablo Iglesias sobre la utilidad de la casa real en el siglo XXI #ParaQuéSirveLaMonarquía 👇🏻</t>
  </si>
  <si>
    <t>más allá de Orión</t>
  </si>
  <si>
    <t>He visto cosas que vosotros no creeríais..., tramas corruptas más allá de Eres y Gürtel. He visto sobres en B brillar en la oscuridad...Es hora de cambiar</t>
  </si>
  <si>
    <t>https://www.youtube.com/channel/UC3Bwzkx1_CQZ4EtBKDUOwNw</t>
  </si>
  <si>
    <t>Emilio Martinez</t>
  </si>
  <si>
    <t>¿Que pensara su socio de gobierno Pablo Iglesias sobre este asunto, rompera con Sanchez? RT @elespanolcom: Goirigolzarri ve "tremendamente positivo" que Sánchez quiera privatizar Bankia</t>
  </si>
  <si>
    <t>https://twitter.com/elespanolcom/status/1065544679830298624
https://www.elespanol.com/economia/empresas/20181122/goirigolzarri-tremendamente-positivo-sanchez-quiera-privatizar-bankia/355214758_0.html</t>
  </si>
  <si>
    <t>---Economia-Gestion-Empresa---LIBERAL minarquista, El proteccionismo e intervencionismo estatal producen falta de competitividad y termina en asfixia financiera</t>
  </si>
  <si>
    <t>KM. 0</t>
  </si>
  <si>
    <t>Blog personal de @PabloMelgar. Creación, literatura, cine, fotografía y música.</t>
  </si>
  <si>
    <t>http://www.kilometr0.es</t>
  </si>
  <si>
    <t>Paqui</t>
  </si>
  <si>
    <t>ERRENTERIA GORRIA: "&amp;#191;Para qué sirve hoy la monarquía?" (Pablo Iglesias):</t>
  </si>
  <si>
    <t>http://errenteriagorria.blogspot.com/2018/11/para-que-sirve-hoy-la-monarquia-pablo.html</t>
  </si>
  <si>
    <t>Alex Salas</t>
  </si>
  <si>
    <t>Ticino</t>
  </si>
  <si>
    <t>Animale domestico</t>
  </si>
  <si>
    <t>Quim  BONAVENTURA AYATS</t>
  </si>
  <si>
    <t>Girona</t>
  </si>
  <si>
    <t>Entre el blanc i el negre hi ha tots els colors del món</t>
  </si>
  <si>
    <t>http://www.quimbonaventura.com</t>
  </si>
  <si>
    <t>Pablo Iglesias, de silenciado por los medios del 'régimen del 78' a vocero de la República en @elpais_espana ...</t>
  </si>
  <si>
    <t>https://elpais.com/elpais/2018/11/21/opinion/1542806031_921444.amp.html?id_externo_rsoc=TW_CC&amp;__twitter_impression=true</t>
  </si>
  <si>
    <t>Canarias, África</t>
  </si>
  <si>
    <t>http://pcpe.es</t>
  </si>
  <si>
    <t>Clara Chirino</t>
  </si>
  <si>
    <t>Pablo Iglesias: ''Es indudable que lo fundamental para definir el carácter democrático de un régimen político no es que la jefatura del Estado sea electiva o no, sino que efectivamente se garanticen las libertades''</t>
  </si>
  <si>
    <t>Zero 🦇</t>
  </si>
  <si>
    <t>Un tipo de zorro negro gótico emo medio flacucho que tiene coleta a lo Pablo Iglesias. RT @_nifIheim: Describe tu pokemon preferido de la peor forma posible el mío una especie de perro zorro eléctrico amarillo con muchísimos pinchos</t>
  </si>
  <si>
    <t>https://twitter.com/_nifIheim/status/1065372682001227777</t>
  </si>
  <si>
    <t>~ Artista al que el arte de vivir le cuesta tanto ~</t>
  </si>
  <si>
    <t>«Lo bueno de Rufián es que hace honor a su apellido porque Pablo Iglesias es ateo, Pedro Duque es pueblo llamo y Artur Mas ha ido a menos» @VaqueroEH</t>
  </si>
  <si>
    <t>OɾιoƖ Sabata</t>
  </si>
  <si>
    <t>Pablo Iglesias legitimando en este artículo a la monarquía española. Habla de "papel central de la monarquía en la dirección del proceso democratizador de España" o de "su función histórica para la democracia española". Terrible.</t>
  </si>
  <si>
    <t>El periodisme, o és combatiu, o no és periodisme. Produïnt @LaZurdaTv</t>
  </si>
  <si>
    <t>Vorrei dir ma non oso</t>
  </si>
  <si>
    <t>Leido el artículo creo que Pablo Iglesias no conoce bien la realidad. O sí, y sólo está haciendo campaña preelectoral. Hay gente capaz de hacerse monárquica empedernida sólo por sus ataques a Felipe VI. #ParaQuéSirveLaMonarquía</t>
  </si>
  <si>
    <t>Chorrilandia</t>
  </si>
  <si>
    <t>Me gusta la Historia, el cine, la música y alguna que otra serie. De Twitter ni repajolera idea.</t>
  </si>
  <si>
    <t>Cristina</t>
  </si>
  <si>
    <t>quien tuviera delante a Pablo Iglesias leyendo estooooo!!!!! Toma CAMIÓN DE PORQUERÍA!!!!! seguramente han tratado de taparlo, por eso se ha filtrado..una ola para la fuente!!! wwwwweeeeeeeeeee!!! RT @Supportapple3: La Policía descubre que la dictadura iraní ha dado 2 millones de euros a Iglesias y su entorno desde 2013</t>
  </si>
  <si>
    <t>Prefiero morir diciendo lo que pienso que vivir de rodillas envuelta en silencio. No respondo a privados, pero hablo con tod@s por publico!</t>
  </si>
  <si>
    <t>Cristina Parapar</t>
  </si>
  <si>
    <t>Una manera sencilla de explicar cuál es el lado correcto de la Historia Tribuna | ¿Para qué sirve hoy la monarquía?; por Pablo Iglesias  via @el_pais</t>
  </si>
  <si>
    <t>Paris, France</t>
  </si>
  <si>
    <t>Doctoranda en filosofia en Paris- Sorbonne.</t>
  </si>
  <si>
    <t>http://cristinaparapar.wordpress.com/</t>
  </si>
  <si>
    <t>https://www.elconfidencial.com/espana/2018-11-18/desencanto-podemos-circulos-pablo-iglesias-carmena_1653050/?utm_source=twitter&amp;utm_medium=social&amp;utm_campaign=BotoneraWeb</t>
  </si>
  <si>
    <t>Sandro Montes &amp; Asoc</t>
  </si>
  <si>
    <t>Un indignado padre español que vivió en Venezuela por 25 años, encarando a Pablo Iglesias, líder de Podemos.</t>
  </si>
  <si>
    <t>Némesis</t>
  </si>
  <si>
    <t>https://www.facebook.com/misamont/videos/10216926134762620/</t>
  </si>
  <si>
    <t>Sevilla - España.</t>
  </si>
  <si>
    <t>Sandro Montes Huapaya, de nacionalidad Hispano-Peruano, abogado experto en Derecho Penal, ejerciendo desde 1995. Actualmente vive y trabaja en Sevilla, España.</t>
  </si>
  <si>
    <t>http://www.sandromontes.com/</t>
  </si>
  <si>
    <t>De Las Nadies de toda la vida. El cine regala pequeños fragmentos de vida que nunca olvidarás (Fellini en 'Amarcord').</t>
  </si>
  <si>
    <t>Norton</t>
  </si>
  <si>
    <t>Menos populista que Pablo Iglesias, más populista que los pobres niños africanos que no tienen ni para comer.</t>
  </si>
  <si>
    <t>https://pbs.twimg.com/media/DsmRNBsXoAYlsER.jpg</t>
  </si>
  <si>
    <t>La COPE me paga el salario mínimo.</t>
  </si>
  <si>
    <t>felipe golfales</t>
  </si>
  <si>
    <t>Hoy se ha publicado el artículo escrito por Pablo Iglesias, “Para qué sirve hoy la monarquía”, donde Iglesias hace una reflexión sobre el papel y la legitimidad de la monarquía en España  #ParaQuéSirveLaMonarquía</t>
  </si>
  <si>
    <t>al otro lado de la puerta gira</t>
  </si>
  <si>
    <t>De marxista a socialista, de socialista a centrista, de centrista a fascista.</t>
  </si>
  <si>
    <t>En definitiva, para que Pablo Iglesias jamás sea Jefe de Estado del Reino de España. Que no os engañen, comunistas. #ParaQuéSirveLaMonarquía</t>
  </si>
  <si>
    <t>ancorlan</t>
  </si>
  <si>
    <t>Sí Se Puede Cubas</t>
  </si>
  <si>
    <t>Podemos Cubas</t>
  </si>
  <si>
    <t>Cubas de la Sagra,  Madrid</t>
  </si>
  <si>
    <t>Cuenta oficial de Podemos Cubas de la Sagra. Revitalizar el municipio es nuestra razón de ser.</t>
  </si>
  <si>
    <t>Juan PR</t>
  </si>
  <si>
    <t>Republicano y discutidor irreprimible. Autónomo profesional. Amante de la libertad, la naturaleza, el brico y la mecánica.</t>
  </si>
  <si>
    <t>Yo te contesto Pablo Iglesias @elpais_espana ¿Para qué sirve la Monarquía? Para que no haya un jefe del Estado que tiene como modelo a Fidel Castro.</t>
  </si>
  <si>
    <t>Ruben</t>
  </si>
  <si>
    <t>Y eso que odio a Pablo Iglesias. A la encuesta le falta una opción de Stalin.</t>
  </si>
  <si>
    <t>https://pbs.twimg.com/media/DsmPgycWwAEzyJ4.jpg</t>
  </si>
  <si>
    <t>Vallecas, España</t>
  </si>
  <si>
    <t>El respeto es algo que definitivamente falta por aquí</t>
  </si>
  <si>
    <t>FRL</t>
  </si>
  <si>
    <t>Pablo Iglesias, lider de Podemos, publica hoy una tribuna en el País poniendo en duda la utilidad de la Monarquía Española ENQUESTA | ¿Debería seguir existiendo una Monarquía en pleno siglo XXI?</t>
  </si>
  <si>
    <t>edurne portela</t>
  </si>
  <si>
    <t>"Que a la jefatura del Estado se acceda por elecciones y no por fecundación sería profundizar en nuestra democracia". Bastante contenida la tribuna de Pablo Iglesias sobre la inutilidad de la monarquía en el presente, pero no está mal.  vía @el_pais</t>
  </si>
  <si>
    <t>Escritora. "El eco de los disparos" (2016), "Mejor la ausencia" (2017; Premio Gremio librerías de Madrid). Bloqueo troles, silencio atorrantes.</t>
  </si>
  <si>
    <t>http://edurneportela.com</t>
  </si>
  <si>
    <t>Juan Manuel Lázaro</t>
  </si>
  <si>
    <t>Valdemarín, Madrid, España</t>
  </si>
  <si>
    <t>Consultor Independiente (Sostenibilidad, Responsabilidad Social Corporativa #RSC)</t>
  </si>
  <si>
    <t>http://jlazaropt.blogspot.com</t>
  </si>
  <si>
    <t>R. Gaab 🇪🇺</t>
  </si>
  <si>
    <t>#ParaQuéSirveLaMonarquía: para que comunistas como Pablo Iglesias e Irene Montero vivan en un chalé que te cagas.</t>
  </si>
  <si>
    <t>I speak in favor of free speech and civil rights. I dislike nationalism, xenophobia and racism. Irony. Punk writer.</t>
  </si>
  <si>
    <t>http://gaab75.blogspot.com</t>
  </si>
  <si>
    <t>Pablo Iglesias preguntándose #ParaQuéSirveLaMonarquía española. De la cubana no se queja.</t>
  </si>
  <si>
    <t>Me Abstengo</t>
  </si>
  <si>
    <t>Para qué sirven las autonomias? Para qué sirven las listas cerradas? Para qué sirven los aforamientos? Tribuna | ¿Para qué sirve hoy la monarquía?; por Pablo Iglesias  vía @el_pais</t>
  </si>
  <si>
    <t>Vivo y dejo vivir. Si no me lo creo, paso. No votando expreso lo que siento. Pero lo que siento no le interesa a nadie, paso.</t>
  </si>
  <si>
    <t>Pablo Iglesias no fue el que inventó la expresión Arriba y Abajo La Revolución Francesa 🔊 LA SOCIEDAD FAMILIAR, 🔊 investigación pragmática,</t>
  </si>
  <si>
    <t>https://goo.gl/6u5HPy?bop26=1572720420</t>
  </si>
  <si>
    <t>Maite Pagazaurtundúa</t>
  </si>
  <si>
    <t>Podemos se deshace. Pablo Iglesias solo puede salvarse si consigue cuajar un frente contra la Constitución del 78 y la monarquía. La regeneración no viene de su mano. RT @jmarcos78: Tribuna de @Pablo_Iglesias_ en @el_pais: "¿Para qué sirve hoy la monarquía? Una nueva república será la mejor garantía para una España unida sobre la base del respeto y la libre decisión de sus pueblos y sus gentes"</t>
  </si>
  <si>
    <t>Bienvenidos a mi oficina en el @Europarl_ES. Diputada por @UPYD en el grupo @ALDEgroup. Activista y escritora. Comprometida con la libertad siempre</t>
  </si>
  <si>
    <t>http://change.org/findeetasinimpunidad</t>
  </si>
  <si>
    <t>https://blogs.elconfidencial.com/espana/mientras-tanto/2018-11-18/pablo-iglesias-podemos-politica_1653078/?utm_campaign=BotoneraWebapp&amp;utm_source=twitter&amp;utm_medium=social</t>
  </si>
  <si>
    <t>Ivis Vásquez</t>
  </si>
  <si>
    <t>Honduras</t>
  </si>
  <si>
    <t>📕Historiador. Maestría en Comunicación Corporativa (Especialización en Periodismo, Funciones y Medios). De Izquierdas. Sin dioses, diablos, infiernos nicielos</t>
  </si>
  <si>
    <t>Integritas</t>
  </si>
  <si>
    <t>Cuando Pablo Iglesias fantaseaba sobre Mariló: "La azotaría hasta que sangrase..."  vía @elespanolcom</t>
  </si>
  <si>
    <t>https://www.elespanol.com/social/20160722/141985976_0.html</t>
  </si>
  <si>
    <t>Miriam Ruiz Castro</t>
  </si>
  <si>
    <t>Albert Rivera en junio de 2017 sobre el Tramabús de Podemos: "Rajoy está encantado de que le monten autobuses con pegatinas porque ni le roza"  Albert Rivera ahora 👇RT @Albert_Rivera: Indultos no, #EleccionesYa .</t>
  </si>
  <si>
    <t>https://www.lasexta.com/programas/al-rojo-vivo/entrevistas/albert-rivera-pablo-iglesias-no-es-la-alternativa-a-mariano-rajoy_2017061559426ae30cf26e79abaf451f.html
https://twitter.com/Albert_Rivera/status/1064931881949511681
https://www.elespanol.com/espana/politica/20181120/ciudadanos-saca-tramabus-sanchez-indultos-no-elecciones/354715424_0.html</t>
  </si>
  <si>
    <t>Periodista. En @ObjetivoLaSexta (@newtral). También junto letras en @elperiodico. Contar para hacer que cuente. 📧Miriamruiz33@gmail.com</t>
  </si>
  <si>
    <t>https://es.linkedin.com/in/mruizcastro</t>
  </si>
  <si>
    <t>Charo</t>
  </si>
  <si>
    <t>Melchor Rey Mago</t>
  </si>
  <si>
    <t>Pedro L. Alcantara</t>
  </si>
  <si>
    <t>La gran pregunta es ¿para qué sirve un partido comunista bolivariano como Podemos y su machito alfa Pablo Iglesias? #ParaQuéSirveLaMonarquía</t>
  </si>
  <si>
    <t>Karina Sainz Borgo</t>
  </si>
  <si>
    <t>Tras esta sentencia, la del tres de octubre, Pablo Iglesias habla del espíritu constituyente del 15M. Todo tan tumultuoso y asambleario, oh. Que levanten la mano los que quieran República.Hagan una fila los que deseen eliminar el Senado.Apúntense en la lista para el pasacalles...</t>
  </si>
  <si>
    <t>https://pbs.twimg.com/media/DsmIdYOX4AE6sdY.jpg</t>
  </si>
  <si>
    <t>Periodista. Siente debilidad por los paquidermos, Fante y Flaubert y cree, firmemente, en la resurrección futbolística de Guti. #CrónicasBarbitúricas</t>
  </si>
  <si>
    <t>Marta ItarteTerribas</t>
  </si>
  <si>
    <t>📰 España es ya una democracia madura y avanzada que no debe seguir teniendo una forma de Gobierno propia del siglo XIV y que nada tiene que ver con un país feminista. 📝 #ParaQuéSirveLaMonarquía, artículo de Pablo_Iglesias_ 👇👇 …</t>
  </si>
  <si>
    <t>Podrán cortar todas las flores, pero no podrán detener la primavera. Quien no se mueve, no siente las cadenas.</t>
  </si>
  <si>
    <t>proyectocosme</t>
  </si>
  <si>
    <t>Ingeniero Raditécnico Universidad Lomonosov Moscú Tecnólogo Industrial. Traductor Ruso-Español-Español Ruso Lic.Ciencias Pilíticas San Petersburgo</t>
  </si>
  <si>
    <t>http://www.tecnitrad.com</t>
  </si>
  <si>
    <t>Belge</t>
  </si>
  <si>
    <t>Es curioso que Pablo Iglesias/El País no permita los comentarios en su artículo Tribuna | ¿Para qué sirve hoy la monarquía?; por Pablo Iglesias  vía @el_pais</t>
  </si>
  <si>
    <t>Castilla</t>
  </si>
  <si>
    <t>Periodismo Económico en Tiempo Real: decirle a la gente de verdad lo que le pasa de verdad a la gente. Escribo para ti en http://inlucro.org/</t>
  </si>
  <si>
    <t>http://inLucro.org</t>
  </si>
  <si>
    <t>Nicolas de Pedro</t>
  </si>
  <si>
    <t>El mismo Pablo Iglesias que ha laminado toda oposición interna en su partido dice hoy en @elpais_espana que hay que "dotarse de instrumentos [...] que huyan de la uniformidad y el cesarismo"</t>
  </si>
  <si>
    <t>Madrid, London and a few other places</t>
  </si>
  <si>
    <t>Senior Fellow, The Institute for Statecraft, Russia, disinformation, hybrid warfare &amp; Central Asia…and a bit of India/Bharat</t>
  </si>
  <si>
    <t>https://www.statecraft.org.uk/about-us</t>
  </si>
  <si>
    <t>KeyMerVin YouTube🐆</t>
  </si>
  <si>
    <t>Sindios</t>
  </si>
  <si>
    <t>Soy un animal humano desnudo. Llevo vivo 50 años. Mi pacifismo acaba dónde empieza tu fascismo. Vive y deja vivir si no puedes ayudar. Cafetero y crudérrimo.</t>
  </si>
  <si>
    <t>Mi cuarto, mi castillo</t>
  </si>
  <si>
    <t>Ádam, Mozart Y La Ballena, In Your Eyes, Kingdom Hearts, Harry Potter, Prince Of Persia, Amigos De Más, El Sueño De Morfeo, Melendi, Mirror's Edge</t>
  </si>
  <si>
    <t>http://www.youtube.com/keymervin</t>
  </si>
  <si>
    <t>Sara Montero</t>
  </si>
  <si>
    <t>He preguntado a tres profes universitarios #ParaQuéSirveLaMonarquía . Ninguno es tan optimista con la III República como Pablo Iglesias. Es el primer peldaño de un camino largo.</t>
  </si>
  <si>
    <t>https://www.cuartopoder.es/espana/2018/11/22/si-cae-la-monarquia-cae-el-sistema-politico-del-78-la-utilidad-de-la-corona-a-debate/</t>
  </si>
  <si>
    <t>Periodista. Escribo sobre Política en @cuartopoder y echo el freno en @_tintalibre.</t>
  </si>
  <si>
    <t>Morafiot</t>
  </si>
  <si>
    <t>¿Para qué sirve hoy la monarquía?; por Pablo Iglesias  via @el_pais</t>
  </si>
  <si>
    <t>Grenade, Espagne</t>
  </si>
  <si>
    <t>Los Milagros Nunca Terminan.</t>
  </si>
  <si>
    <t>Paola Lo Cascio</t>
  </si>
  <si>
    <t>Odio gli indifferenti</t>
  </si>
  <si>
    <t>David Alonso</t>
  </si>
  <si>
    <t>Que @elpais_opinion publique esto cuando este sujeto os ha puesto podre como medio no es normal. Pero bueno Sirve para no elegir a sujetos como Pablo Iglesias para la jefatura del Estado</t>
  </si>
  <si>
    <t>La Coruña</t>
  </si>
  <si>
    <t>“La política es el arte de la segunda mejor opción”. Otto Von Bismarck</t>
  </si>
  <si>
    <t>Le vent se lève</t>
  </si>
  <si>
    <t>No sé qué es más ridículo, culpar a todo el movimiento feminista porque una famosa ha resultado ser una hipócrita (¿sorpresa?) o llamar a Pablo Iglesias “comunismo bolivariano” 😂 RT @Nanchinho: Gente como Leticia Dolera o Pablo Iglesias nos han demostrado, una con sus despidos y el otro con sus mansiones alejadas de la gente, que el feminismo y el comunismo bolivariano son solamente un gran negocio para aquellos que lo predican y una gran mentira para los demás. FIN</t>
  </si>
  <si>
    <t>https://twitter.com/nanchinho/status/1064948414578917376</t>
  </si>
  <si>
    <t>Santander-Sevilla</t>
  </si>
  <si>
    <t>Mi madre tuvo la genial ocurrencia de llamarme Soledad. Traductora y humanista. Feminismo y rollos progres. Cute but will fight you.</t>
  </si>
  <si>
    <t>https://curiouscat.me/Laetitiamoon</t>
  </si>
  <si>
    <t>#ParaQuéSirveLaMonarquía el mantra de Podemos es que el Rey se elige por fecundación, y digo yo que las “PORTAVOZAS” de Podemos se eligen según él el pene sabio y supremo de Pablo Iglesias, no? A las pruebas me remito.</t>
  </si>
  <si>
    <t>Juan Luis Sánchez</t>
  </si>
  <si>
    <t>"Jarabe democrático" le llamará Pablo Iglesias. Salvo si le escupen a él, o a ella, que entonces te costará 70.000 euros mínimo. RT @Velherro: Ya verán qué poco tardan en reconocer "escupitajo" o "esputo" como "libertad de expresión"</t>
  </si>
  <si>
    <t>https://twitter.com/Velherro/status/1065513403677052930</t>
  </si>
  <si>
    <t>pic.twitter.com/mTZy6fpxXK</t>
  </si>
  <si>
    <t>Miguel</t>
  </si>
  <si>
    <t>‼️👉Venezuela pagó 7 millones a Iglesias, Monedero y Verstrynge para extender el bolivarismo en ESPAÑA🇪🇸‼️</t>
  </si>
  <si>
    <t>Manchester 🇺🇸🇬🇧🇪🇸✝️</t>
  </si>
  <si>
    <t>EUROPE SUCKS MAKE EUROPE GREAT FOR ONCE 💎Shine on your crazy diamonds 💎 🌒 Dark Side Of The Moon🌒 #CONSERVATIVE #PATRIOT #MAGA #POTUS🇺🇸🇬🇧🇪🇸✝️</t>
  </si>
  <si>
    <t>EricRogal</t>
  </si>
  <si>
    <t>Comunismo, Sr. Pablo Iglesias? En Cuba, pq es una isla y no pueden huir En Korea, pq no los dejan En Venezuela, escapando a MM como de un incendio En los países d la URSS q lo padecieron, PROHIBIDO! Por sus genocidios, tendría q estar perseguido y prohibido en todo el mundo!!</t>
  </si>
  <si>
    <t>Profesor, Abogado y Escritor. Los humanos son capaces de destrozar un país y un planeta, que los animales han hecho maravilloso durante millones de años....</t>
  </si>
  <si>
    <t>Pablo Iglesias, sobre la Transició: "Difícilmente las cosas hubieran podido ocurrir de manera muy diferente". Vaja.</t>
  </si>
  <si>
    <t>paloms.</t>
  </si>
  <si>
    <t>He hecho el quiz ese de The Guardian y me ha dado que soy más populista que Pablo Iglesias pues bueno. Por lo menos también soy más de izquierdas.</t>
  </si>
  <si>
    <t>London, England</t>
  </si>
  <si>
    <t>Class and sass.</t>
  </si>
  <si>
    <t>Joaquim Palacio</t>
  </si>
  <si>
    <t>Podemos Lavapiés</t>
  </si>
  <si>
    <t>En la España de 2018 que la jefatura del Estado se acceda por elecciones y no por fecundación sería profundizar en nuestra democracia. @Pablo_Iglesias_escribe y analiza en su artículo #ParaQuéSirveLaMonarquía</t>
  </si>
  <si>
    <t>https://pbs.twimg.com/media/DsmDzfuXoAACNHF.jpg</t>
  </si>
  <si>
    <t>Lavapiés, Madrid</t>
  </si>
  <si>
    <t>Círculo Podemos de Lavapiés (Madrid centro)</t>
  </si>
  <si>
    <t>https://www.facebook.com/pages/Podemos-Lavapi%C3%A9s/615103381877524?ref=hl</t>
  </si>
  <si>
    <t>Podemos Cerro Amate</t>
  </si>
  <si>
    <t>NOS VEMOS EL SABADO!! Teresa Rodriguez, Pablo Iglesias, Antonio Maillo, Alberto Garzón....y la chirigota de Vera Luque!! Pilla tu invitación aquí:</t>
  </si>
  <si>
    <t>https://goo.gl/m3Tvck</t>
  </si>
  <si>
    <t>https://pbs.twimg.com/media/DsmDgGOXQAAJfVn.jpg</t>
  </si>
  <si>
    <t>C/ José María de Pereda, 7</t>
  </si>
  <si>
    <t>Círculo Podemos Cerro Amate (41006, Sevilla). Barrios: Amate, Juan XXIII, Los Pájaros, Rochelambert, Sta Aurelia, Palmete, El Cerro, La Plata, Padre Pío, etc.</t>
  </si>
  <si>
    <t>http://www.podemoscerroamate.info</t>
  </si>
  <si>
    <t>♕Esparnùa</t>
  </si>
  <si>
    <t>La monarquía sirve para que tipos como Pablo Iglesias no nos impongan una República Federal asimétrica de corte bolivariano donde se otorgue el derecho de autodeterminación a Cataluña y País Vasco.</t>
  </si>
  <si>
    <t>Barbecho (España).</t>
  </si>
  <si>
    <t>Soy malagueño, andaluz y español por gracia de la propiedad conmutativa.</t>
  </si>
  <si>
    <t>Øhh Nocerino</t>
  </si>
  <si>
    <t>Deleznable el artículo de Pablo Iglesias en El País hoy, vendiéndonos la moto, lamentable, la monarquia siempre</t>
  </si>
  <si>
    <t xml:space="preserve">Moralia • Varese • Manchester </t>
  </si>
  <si>
    <t>il meglio deve ancora venire | Dame un buen motivo y te juro que me arriesgo | Keep calm and fight for your dreams | #TeamAirMax | #LiveForever | 92:48 | Milán</t>
  </si>
  <si>
    <t>http://about.me/carlos.hidalgosanchez</t>
  </si>
  <si>
    <t>Julio</t>
  </si>
  <si>
    <t>Si no tenías suficiente con soportar la dea de dar de comer al cabron de Pablo Iglesias, también puedes vomitar con doble motivo mientras lo dejan escribir en @elpais_espana  Un periódico que no vuelvo a abrir.</t>
  </si>
  <si>
    <t>https://www.elpais.com/elpais/2018/11/21/opinion/1542806031_921444.html</t>
  </si>
  <si>
    <t>sheeeeeeeeit</t>
  </si>
  <si>
    <t>Cali Formoso</t>
  </si>
  <si>
    <t>Una reflexion a tener en cuenta. Tribuna | ¿Para qué sirve hoy la monarquía?; por Pablo Iglesias  vía @el_pais</t>
  </si>
  <si>
    <t>Soy un Nacho de Ferrol.</t>
  </si>
  <si>
    <t>Licenciado en Filosofía y Graduado en Ciencias Bélicas. Presidente del Club Triatlón Ferrol y entusiasta seguidor de Javi Gómez Noya</t>
  </si>
  <si>
    <t>Clickbait Científico</t>
  </si>
  <si>
    <t>Salmorejo eólico con nudes, el nuevo invento de Pablo Iglesias. ¿Quién lo hubiera dicho?</t>
  </si>
  <si>
    <t>No dejes que la comunidad científica (y menos aún @garirius) te arruine un buen titular 👨‍🔬👩‍🔬</t>
  </si>
  <si>
    <t>Aitor Riveiro</t>
  </si>
  <si>
    <t>La República como garantía de la unidad de España "sobre la base del respeto y la libre decisión de sus pueblos y sus gentes" Tribuna de Pablo Iglesias  vía @el_pais</t>
  </si>
  <si>
    <t>Periodista a pesar de todo en @eldiarioes. Desaprendí casi todo lo que sé en El País. He escrito un libro sobre Podemos y sigo vivo http://libros.com/comprar/el-cie…</t>
  </si>
  <si>
    <t>https://t.me/AitorRiveiro</t>
  </si>
  <si>
    <t>Alexandre Muscalu</t>
  </si>
  <si>
    <t>Educador, Historiador, Viajero. Más que todo esto: republicano humanista. #turismomadrid #educacion #NarrativasExperiencias</t>
  </si>
  <si>
    <t>http://www.alexandremuscalu.com</t>
  </si>
  <si>
    <t>Mario Ortega</t>
  </si>
  <si>
    <t>Gran artículo de Pablo Iglesias.</t>
  </si>
  <si>
    <t>Granada - Andalucía</t>
  </si>
  <si>
    <t>Llegué a la ecología política desde la izquierda. Al andalucismo no llegué, estuve desde siempre; Andalucía es mi cultura, la luz que ilumina el mundo que veo.</t>
  </si>
  <si>
    <t>http://www.marioortega.org</t>
  </si>
  <si>
    <t>Luis Ruescas</t>
  </si>
  <si>
    <t>¿Alguna vez conociste a una celebridad? — A nivel nacional, he visto en persona al Gran Wyoming, a la Reina Emérita junto con sus hijas y nietas, Pablo Iglesias,…</t>
  </si>
  <si>
    <t>https://curiouscat.me/BreakFyre/post/713636413?t=1542875715</t>
  </si>
  <si>
    <t>Fan del cine, las series, los cómics, la literatura y los videojuegos. Gran admirador de Pink Floyd</t>
  </si>
  <si>
    <t>Candela #12.O# 🇪🇸ن</t>
  </si>
  <si>
    <t>Pablo Echenique cantando chupame la minga dominga y Pablo Iglesias borracho  vía @YouTube #LaCafeteraCrispaciOFF #ParaQuéSirveLaMonarquía : Para que estos descerebrados no nos gobiernen.</t>
  </si>
  <si>
    <t>https://youtu.be/UwYUWq33yLg</t>
  </si>
  <si>
    <t>La Marina</t>
  </si>
  <si>
    <t>No importa que no me entendáis. Que yo estoy hablando en mi lengua española,que es tan bella y noble que debería ser conocida por toda la cristiandad.Carlos I</t>
  </si>
  <si>
    <t>Ataco a un pobre hombre e ignorante como Pablo Iglesias por representar al facismo bajo una mascara comunista Revuelo de revolar,</t>
  </si>
  <si>
    <t>Torremolinos Informa</t>
  </si>
  <si>
    <t>⚠️ ATENCIÓN ⚠️ Por tareas de acondicionamiento de zonas ajardinadas, la calle Pablo Iglesias permanecerá cortada al #trafico también hoy (jueves 22), de 8.00h a 13.30h. Disculpad las molestias</t>
  </si>
  <si>
    <t>https://bit.ly/2DsUalY</t>
  </si>
  <si>
    <t>https://pbs.twimg.com/media/Dsl-rp_W0Agb6Eu.jpg</t>
  </si>
  <si>
    <t>Málaga, Torremolinos</t>
  </si>
  <si>
    <t>Perfil Oficial del Ayuntamiento de Torremolinos / Official Account of Torremolinos City Hall</t>
  </si>
  <si>
    <t>https://www.facebook.com/ayto.torremolinos</t>
  </si>
  <si>
    <t>Pastrana</t>
  </si>
  <si>
    <t>Ahora que Sánchez viaja a Cuba es el momento de cambiarles los restos de Franco por los de Fidel y llevarlos al Valle de los Caídos para que Pablo Iglesias pueda rendir homenaje a un demócrata de los de verdad.</t>
  </si>
  <si>
    <t>Planilandia.</t>
  </si>
  <si>
    <t>Recaudador de impuestos.</t>
  </si>
  <si>
    <t>Héctor 🤔</t>
  </si>
  <si>
    <t>Pablo Iglesias participa este año en el concurso “¿Qué es un rey para mí?”</t>
  </si>
  <si>
    <t>127.0.0.1</t>
  </si>
  <si>
    <t>Afinador de redes neuronales. Aprobé el test de Turing a la segunda, pero aún se me resisten los Captchas. Cumplo 2 de las leyes de la robotica.</t>
  </si>
  <si>
    <t>Antonio Rubio Rubio</t>
  </si>
  <si>
    <t>Para que un comunista con ansias de poder como Pablo Iglesias JAMÁS pueda llegar a ser Jefe de Estado. Que Pablenin no os engañe. #ParaQuéSirveLaMonarquía</t>
  </si>
  <si>
    <t>Comunismo, Sr. Pablo Iglesias?... En Cuba, pq es una isla y no pueden huir En Korea, pq no los dejan En Venezuela, escapando a MM como de un incendio En los países d la URSS q lo padecieron, PROHIBIDO! Por sus genocidios, tendría q estar perseguido y prohibido en todo el mundo!!</t>
  </si>
  <si>
    <t>Blog Societat Anònima</t>
  </si>
  <si>
    <t>Pedro Sánchez no votó la Constitución. Pablo Casado no votó la Constitución. Albert Rivera no votó la Constitución. Pablo Iglesias no votó la Constitución. Felipe VI no votó la Constitución. Cuando alguien afirme que la votaron todos los españoles, ríete.</t>
  </si>
  <si>
    <t>Àlex Ribes. Turisme. Audiovisuals. Professor i blogaire. Autor de BENVOLGUT, O NO (Viena Edicions, 2016). INSTAGRAM: http://instagram.com/ribes.a/</t>
  </si>
  <si>
    <t>http://societatanonima.wordpress.com/</t>
  </si>
  <si>
    <t>Chris C. Salmoral</t>
  </si>
  <si>
    <t>#ParaQuéSirveLaMonarquía Para frenar a todos los enemigos del país. Para eso sirve. La pregunta, Pablo Iglesias, es para qué sirven políticos como tú.</t>
  </si>
  <si>
    <t>España / Spain</t>
  </si>
  <si>
    <t>Autor. Writer. Enlace debajo. Enllaç avall. Link below.</t>
  </si>
  <si>
    <t>https://amzn.to/2GPL19g</t>
  </si>
  <si>
    <t>Mon Pereda</t>
  </si>
  <si>
    <t>Cherif Habadi</t>
  </si>
  <si>
    <t xml:space="preserve">Madrid. España </t>
  </si>
  <si>
    <t>Sahraui.Licenciado en filología hispanoamericana</t>
  </si>
  <si>
    <t>@comoeestaelpais</t>
  </si>
  <si>
    <t>Te lo voy a explicar muy facil. Cada día es mas necesaria la monarquia debido a los inutiles de políticos que tenemos.Solo imaginate la imagen de España con Rajoy, Zapatero o peor Pablo Iglesias como jefe de Estado. No estan preparados #ParaQuéSirveLaMonarquía</t>
  </si>
  <si>
    <t>Paco Jesús</t>
  </si>
  <si>
    <t>2019, proceso constituyente Tribuna | ¿Para qué sirve hoy la monarquía?; por Pablo Iglesias  vía @el_pais</t>
  </si>
  <si>
    <t>El viaje empieza donde acaban los caminos</t>
  </si>
  <si>
    <t>RaquelMartínez-Gómez</t>
  </si>
  <si>
    <t>NO SIRVE PARA NADA Y SEGUIR SIN QUE LA CIUDADANÍA PUEDA DECIDIR ES UN ATROPELLO. Tribuna | ¿Para qué sirve hoy la monarquía?; por Pablo Iglesias  vía @el_pais</t>
  </si>
  <si>
    <t>aquí y allá...</t>
  </si>
  <si>
    <t>Escritora y comunicadora social</t>
  </si>
  <si>
    <t>Julio Pazos</t>
  </si>
  <si>
    <t>Vigo</t>
  </si>
  <si>
    <t>Vivo sin rencores, pero con memoria</t>
  </si>
  <si>
    <t>cristina garcia</t>
  </si>
  <si>
    <t>villarrobledo</t>
  </si>
  <si>
    <t>Maestra, formadora,concejal pp</t>
  </si>
  <si>
    <t>John Müller</t>
  </si>
  <si>
    <t>MAD/SCL/ZOS</t>
  </si>
  <si>
    <t>Periodista. He visto caer dos democracias: Chile y Venezuela. Parrillero experto. Osornino, carnivorista y colesterólico. A veces e-stent-óreo. Fui bombero.</t>
  </si>
  <si>
    <t>https://johnmuller.wordpress.com/author/cultrun/</t>
  </si>
  <si>
    <t>Ecuador</t>
  </si>
  <si>
    <t>Podemos Esquivias</t>
  </si>
  <si>
    <t>🖊 Artículo de Pablo Iglesias: #ParaQuéSirveLaMonarquía. Una reflexión sobre la legitimidad de la monarquía en España y sobre la evolución de nuestra democracia.</t>
  </si>
  <si>
    <t>Esquivias, España</t>
  </si>
  <si>
    <t>Cuenta oficial de Podemos Esquivias (Toledo), siguenos también en https://www.facebook.com/PodemosEsquivias/</t>
  </si>
  <si>
    <t>http://www.podemos.info</t>
  </si>
  <si>
    <t>Jose Luis (Monty)</t>
  </si>
  <si>
    <t>Esquivias (Toledo)</t>
  </si>
  <si>
    <t>https://www.facebook.com/JoseMonty69</t>
  </si>
  <si>
    <t>Alejandro Cienfuegos</t>
  </si>
  <si>
    <t>Hábil jugada de Pablo Iglesias que intenta, como portavoz, arrimar el voto republicano a Podemos, y ojo que ese voto existe: Tribuna | ¿Para qué sirve hoy la monarquía?; por Pablo Iglesias  vía @el_pais</t>
  </si>
  <si>
    <t>Nil Desperandum Auspice Deo</t>
  </si>
  <si>
    <t>Sí hubiera sido otro político no afín a @sanchezcastejon cómo #Rivera que hubieran dicho la manada socio-listos? Cada día me decepciona más ese partido, si Pablo Iglesias levantara la cabeza...🤔🤔 #HemicircoAR</t>
  </si>
  <si>
    <t>Podemos Calvià</t>
  </si>
  <si>
    <t>¿Para qué sirve la monarquía? por Pablo Iglesias. RT @PdmIllesBalears: 👑 Hay muchas preguntas sin responder hoy en día en torno a la Monarquía. ¿#ParaQuéSirveLaMonarquía en pleno 2018? @Pablo_Iglesias_ responde en este artículo. 👇</t>
  </si>
  <si>
    <t>https://twitter.com/PdmIllesBalears/status/1065509598419922944
https://elpais.com/elpais/2018/11/21/opinion/1542806031_921444.html?fbclid=IwAR3nHPSAuVPStsIBF5uiSz7ydl8U_MoSbubQIU8Pmor1bbdxhCay62E60K8</t>
  </si>
  <si>
    <t>Calvià, España</t>
  </si>
  <si>
    <t>Pàgina oficial de Podem Calvià. Sigues part del canvi✊ Página oficial de Podemos Calviá. Sé parte del cambio💪</t>
  </si>
  <si>
    <t>fdelriosanchez</t>
  </si>
  <si>
    <t>Artículo de Pablo Iglesias: "El pluralismo político e identitario es hoy una realidad en una sociedad que ha tenido 40 años para madurar democráticamente. Normalizar ese pluralismo y...</t>
  </si>
  <si>
    <t>https://elpais.com/elpais/2018/11/21/opinion/1542806031_921444.html?id_externo_rsoc=FB_CC</t>
  </si>
  <si>
    <t>Toda esta campaña a favor de la república por parte de Pablo Iglesias es sólo para colarnos como jefe de Estado al ex JEMAD Julio Rodríguez, lo sabéis ¿no? No parará hasta que tena un puesto. RT @Pablo_Iglesias_: España debe terminar de convertirse en una democracia moderna. Una nueva república será la mejor garantía para una España unida sobre la base del respeto y la libre decisión de sus pueblos y sus gentes. #ParaQuéSirveLaMonarquía.</t>
  </si>
  <si>
    <t>marisol guajardo val</t>
  </si>
  <si>
    <t>MuyMaduro</t>
  </si>
  <si>
    <t>Financiación de Podemos: Venezuela pagó 7 millones a Iglesias y Monedero para extender el bolivarismo</t>
  </si>
  <si>
    <t>Avalon, CA</t>
  </si>
  <si>
    <t>Lejos pero muy español</t>
  </si>
  <si>
    <t>Efrain Salinas</t>
  </si>
  <si>
    <t>Urbano24HORAS.COM</t>
  </si>
  <si>
    <t>Tribuna | "Una nueva república será la mejor garantía para una España unida sobre la base del respeto y la libre decisión de sus pueblos y sus gentes". Por Pablo_Iglesias_</t>
  </si>
  <si>
    <t>urbano.noticias@gmail.com</t>
  </si>
  <si>
    <t>Medio de comunicación| Seguimos a nuestros seguidores. Nos interesa #AMLO, #Oaxaca, #POBREZA, #MORENA #Corrupcion #Violencia, #RT #Folow</t>
  </si>
  <si>
    <t>http://urbano24horas.com/</t>
  </si>
  <si>
    <t>En Nuestra Plaza: Para qué sirve hoy la monarquía. Artículo de opinión de Pablo Iglesias en El País.</t>
  </si>
  <si>
    <t>https://ift.tt/2QexcGf</t>
  </si>
  <si>
    <t>Santiago Navajas</t>
  </si>
  <si>
    <t>El ataque contra la monarquía constitucional (hoy publica El País un artículo de Pablo Iglesias contra la misma) va en esa dirección, porque nuestros reyes han sido el principal dique contra los golpistas, un factor más en la separación de poderes y el equilibrio constitucional</t>
  </si>
  <si>
    <t>Profesor de Filosofía. Crítico político, cinematográfico y literario. santiagonavajas@gmail.com</t>
  </si>
  <si>
    <t>http://cineypolitica.blogspot.com.es/</t>
  </si>
  <si>
    <t>El Azote de Dios</t>
  </si>
  <si>
    <t>A @ahorapodemos y Pablo Iglesias se les llena la boca de insultos y críticas hacia el Rey por hacer su trabajo con Arabia Saudí, pero no dicen nada de la verdadera tragedia: hasta 85.000 niños han podido morir de hambre durante el conflicto en Yemen -</t>
  </si>
  <si>
    <t>https://elpais.com/internacional/2018/11/21/actualidad/1542808308_180490.html</t>
  </si>
  <si>
    <t>Rafa Buitron Escorza</t>
  </si>
  <si>
    <t>Tolosa</t>
  </si>
  <si>
    <t>manuel soca</t>
  </si>
  <si>
    <t>Con la guerra aumentan las propiedades de los hacendados, la miseria de los miserables, los discursos del general, y el silencio de los hombres.</t>
  </si>
  <si>
    <t>Juan Jiménez Alonso</t>
  </si>
  <si>
    <t>¿Y para qué sirve hoy la izquierda, y para que sirve hoy la derecha y para que nos sirve hoy una clase dirigente que cuando llega a la poltrona no quiere soltarla? Tribuna | ¿Para qué sirve hoy la monarquía?; por Pablo Iglesias  vía @el_pais</t>
  </si>
  <si>
    <t>Granada, Región de Granada, España.</t>
  </si>
  <si>
    <t>Aprendiendo día a día de la vida</t>
  </si>
  <si>
    <t>Jaime Diz</t>
  </si>
  <si>
    <t>Lausana, Suiza</t>
  </si>
  <si>
    <t>Arquitectura + Filosofía.</t>
  </si>
  <si>
    <t>http://www.archeyes.com</t>
  </si>
  <si>
    <t>A. Montañés</t>
  </si>
  <si>
    <t>Tribuna | ¿Para qué sirve hoy la monarquía?; por Pablo Iglesias Vaya con el líder de la fraternidad social. Iglesias y Echenique darían la mejor imagen de la república Española Bolivariana.  vía @el_pais</t>
  </si>
  <si>
    <t>COLUMNA: ¿Se equivocaba Pablo Iglesias sobre las terapias alternativas?</t>
  </si>
  <si>
    <t>Noelia Vera</t>
  </si>
  <si>
    <t>Gaditana en Madrid</t>
  </si>
  <si>
    <t>Periodista.Feminista.Portavoz de @ahorapodemos, diputada por Cádiz en el Congreso y secretaria de Participación.Políticas mediáticas y cooperación internacional</t>
  </si>
  <si>
    <t>http://www.hemisferiozero.com</t>
  </si>
  <si>
    <t>Agustín de Grado</t>
  </si>
  <si>
    <t>Pues para impedir la república frentepopulista que impodrías junto a todos esos rufianes a los que une el odio a España como aliados. Para eso sirve hoy la monarquía, Pablo Iglesias</t>
  </si>
  <si>
    <t>Periodista. Ahora en OKDIARIO. Si te dan un papel pautado, escribe por detrás.</t>
  </si>
  <si>
    <t>charly cantalapiedra</t>
  </si>
  <si>
    <t>Tribuna | ¿Para qué sirve hoy la monarquía?; por Pablo Iglesias: "Una nueva república será la mejor garantía para una España unida sobre la base del respeto y la libre decisión de sus pueblos y sus gentes".  vía @el_pais</t>
  </si>
  <si>
    <t>Estado: Escribiendo. Otros estados: leer, nadar, caminar...</t>
  </si>
  <si>
    <t>http://ciudadanoenlanube.blogspot.com</t>
  </si>
  <si>
    <t>Paz Carretero 💜</t>
  </si>
  <si>
    <t>Alicante, Spain</t>
  </si>
  <si>
    <t>Profesora cualificada de inglés, español y japonés. Dedicada a romper barreras culturales a través de la enseñanza de lenguas.</t>
  </si>
  <si>
    <t>JUANVI PODEMOS✋ #USERA</t>
  </si>
  <si>
    <t>A  modo porque vamos lonxe</t>
  </si>
  <si>
    <t>Gallego, de Vigo, de origen canario, vivo en Usera (Madrid). Jubilado y Consejero Ciudadano Municipal de Podemos Madrid. También en Pensionistas de Usera.</t>
  </si>
  <si>
    <t>http://elblogdejuanvi.blogspot.com/</t>
  </si>
  <si>
    <t>Antón Pachín d Melás</t>
  </si>
  <si>
    <t>Tribuna | ¿Para qué sirve hoy la monarquía?; por Pablo Iglesias ---- ¡Qué dices, golfo! Una república solo servirá pa dar pasu a un cúmulo de republiquetas con caciques en su frente ---- . vía @el_pais</t>
  </si>
  <si>
    <t>José Enebral</t>
  </si>
  <si>
    <t>No pretendo llevar razón, pero me gusta decir y escribir libremente lo que pienso... Antiguo alumno salesiano.</t>
  </si>
  <si>
    <t>Char</t>
  </si>
  <si>
    <t>Martin olalde</t>
  </si>
  <si>
    <t>Sofía Castañón</t>
  </si>
  <si>
    <t>España es ya una democracia madura que no debe seguir teniendo una forma de Gobierno propia del siglo XIV y que nada tiene que ver con un país feminista. 📝 Pablo Iglesias ha escrito sobre ello en su artículo #ParaQuéSirveLaMonarquía:</t>
  </si>
  <si>
    <t>Xixón, Asturies</t>
  </si>
  <si>
    <t>Con los ojos atentos y las palabras a mano. Secretaria de Feminismos Interseccional y LGTBI en @ahorapodemos. Diputada por Asturies en el Congreso.</t>
  </si>
  <si>
    <t>http://www.sofiacastanon.es</t>
  </si>
  <si>
    <t>mes</t>
  </si>
  <si>
    <t>Cómo se pueden decir tantas simplezas y tópicos en tan poco espacio???? Y el libelo se presta... Tribunairve hoy la monarquía?; por Pablo Iglesias  vía @el_pais</t>
  </si>
  <si>
    <t>Escritor de vocación</t>
  </si>
  <si>
    <t>Lothar Rauer</t>
  </si>
  <si>
    <t>Dos Hermanas / Sevilla</t>
  </si>
  <si>
    <t>http://bajolempa.wordpress.com</t>
  </si>
  <si>
    <t>Remigio Vergüenza</t>
  </si>
  <si>
    <t>Te lo digo yo: PA DISCUTIR Tribuna | ¿Para qué sirve hoy la monarquía?; por Pablo Iglesias  vía @el_pais</t>
  </si>
  <si>
    <t>Todos somos rubias mientras no se demuestre lo contrario</t>
  </si>
  <si>
    <t>LO LÖCY</t>
  </si>
  <si>
    <t>AUTÉNTICA!!! LA GÜENA GÜENA!!!! LA GÜENA, SEÑORA!!!!! SEÑORAAAAAAAAA!!!!!!!! (insertar imagen de Pablo Iglesias agarrando por la almendra a una vieja en un mitin) RT @fautentica: Nuestro apoyo, y solidaridad con Josep Borrell, Ministro de Asuntos Exteriores, que hoy ha sido insultado, y escupido por la bazofia golpista y separatista de los diputados de Esquerra Republicana @Esquerra_ERC</t>
  </si>
  <si>
    <t>https://twitter.com/fautentica/status/1065186353170788352
https://twitter.com/elmundoes/status/1065166736377360384</t>
  </si>
  <si>
    <t>🔖</t>
  </si>
  <si>
    <t>locy@checaresmien.org discord: locyber#2769</t>
  </si>
  <si>
    <t>http://checaresmien.org</t>
  </si>
  <si>
    <t>✨ SALVAR MARÍA ✨</t>
  </si>
  <si>
    <t>soy más populista de izquierdas que Pablo Iglesias me meo</t>
  </si>
  <si>
    <t>https://pbs.twimg.com/media/DslvkmhXgAAG_jQ.jpg</t>
  </si>
  <si>
    <t>80% sexy, 20% disgusting. 📍📚 Estudios Internacionales + Ciencias políticas (UC3M).</t>
  </si>
  <si>
    <t>http://www.instagram.com/xngelfurler</t>
  </si>
  <si>
    <t>Pasa Ahora</t>
  </si>
  <si>
    <t>Noticias de España y Latinoamérica. Prépa HEC.</t>
  </si>
  <si>
    <t>Camilo Cristancho</t>
  </si>
  <si>
    <t>#MiLiderPopulistaPreferido es Evo pero salgo cercano a Pablo Iglesias :o RT @Evaanduiza: How populist are you?</t>
  </si>
  <si>
    <t>https://twitter.com/Evaanduiza/status/1065490281649201153
https://www.theguardian.com/world/ng-interactive/2018/nov/21/how-populist-are-you-quiz</t>
  </si>
  <si>
    <t>Political science, computational social science, protest, activism, data geek</t>
  </si>
  <si>
    <t>Pablo Iglesias percibe dinero de Irán 📣 Circulación, 🗣️ Sacudida,</t>
  </si>
  <si>
    <t>https://goo.gl/MQqk3u?men92=3645272252</t>
  </si>
  <si>
    <t>Xavier Cassanyes</t>
  </si>
  <si>
    <t>Mallorca</t>
  </si>
  <si>
    <t>Columnista en el diario Última Hora. Analista Político-Consultor. Liberal Demócrata. Federalista.</t>
  </si>
  <si>
    <t>http://about.me/xaviercassanyes</t>
  </si>
  <si>
    <t>Espíritu-Profético ㊏</t>
  </si>
  <si>
    <t>Que es un Progre como @Pablo_Iglesias, @MonederoJC, @ierrejon @pnique Me alegro y mucho de que halla personas como Gloria Álvarez "Como hablar con un Progre" porque de verás es bien esclarecedor su manera de contarlo. Aqui buena lectura pandilla de intelectuales de pacotilla</t>
  </si>
  <si>
    <t>https://pbs.twimg.com/media/DsluWLaXoAAgVX6.jpg</t>
  </si>
  <si>
    <t>RUAH ELOHIM ㊏ ANDALUCÍA</t>
  </si>
  <si>
    <t>Y VI LAS ALMAS DE LOS DECAPITADOS POR CAUSA DEL TESTIMONIO DE JESÚS Y POR LA PALABRA DE DIOS. APOCALIPSIS 20: 4 EGRESADO DEL IBG AHORA SBG - GUATEMALA</t>
  </si>
  <si>
    <t>España debe terminar de convertirse en una democracia moderna. Una nueva república será la mejor garantía para una España unida sobre la base del respeto y la libre decisión de sus pueblos y sus gentes. #ParaQuéSirveLaMonarquía.</t>
  </si>
  <si>
    <t>Que es un Progre como @Pablo_Iglesias, @MonederoJC, @ierrejon @pnique El progre como estos son los que condenan a Franco y lo maldicen a diario, pero, alaban a bombo y platillo el genocidio de Stalin, de Lenin y de toda la pandilla de asesinos etc eso es ser un Progre .</t>
  </si>
  <si>
    <t>Que es un Progre como @Pablo_Iglesias, @MonederoJC, @ierrejon @pnique son los que dicen que los terroristas de ETA son presos politicos, como escribe Gloria Alvarez, el Progre condena que Pinochet haya asesinado a 3000 opositores, pero los que fusilo a placer el Ché no era tal</t>
  </si>
  <si>
    <t>Toledo</t>
  </si>
  <si>
    <t>Como puede ser Pablo Iglesias tan boca chancla? Para que sirve Podemos?</t>
  </si>
  <si>
    <t>Jordi Estellers</t>
  </si>
  <si>
    <t>Tribuna | ¿Para qué sirve hoy la monarquía?; por Pablo Iglesias  via @el_pais La monarquia no tiene futuro ahora #destronemlo</t>
  </si>
  <si>
    <t>http://telegram.me/JordiEstellers</t>
  </si>
  <si>
    <t>Que es un Progre como @Pablo_Iglesias, @MonederoJC, @ierrejon @pnique estos son quienes te dicen que el Holocausto fue una decisión administrativa, vaya de burocracia o que seis millones de judíos caben en el cenicero de un seiscientos, a lo que llaman en su defensa humor negro</t>
  </si>
  <si>
    <t>Karmentxu Marín</t>
  </si>
  <si>
    <t>Periodista-</t>
  </si>
  <si>
    <t>Tonitronon</t>
  </si>
  <si>
    <t>¿SE PUEDE DECIR LA VERDAD MAS CLARA? Tribuna | ¿Para qué sirve hoy la monarquía?; por Pablo Iglesias  vía @el_pais</t>
  </si>
  <si>
    <t>afganistan (Cuenca)</t>
  </si>
  <si>
    <t>Desde que llegaste ya no vivo llorando hey!! Vivo cantando hey!!, vivo soñando Sólo quiero que me digas qué está pasando Que estoy temblando de estar junto a ti</t>
  </si>
  <si>
    <t>Que es un Progre como @Pablo_Iglesias, @MonederoJC, @ierrejon @pnique Son los que defienden las supuesta democracia venezolana, régimen iraní, los que dicen que todo debe ser laico, pero defiende a los islamitas y ataca a judíos y cristianos.</t>
  </si>
  <si>
    <t>Que es un Progre como @Pablo_Iglesias, @MonederoJC, @ierrejon @pnique son aquellos que se compran chaleres de lujo, casoplones o por un artículo de varias páginas cobran 300,000 euros o cobran becas sin trabajar o tienen empleadas sociales sin papeles, o defraudan con canales tv</t>
  </si>
  <si>
    <t>ayer mientras en el congreso se daba otro bochornoso expectaculo Pablo Iglesias y gente de UP se calentaba las manos y el cuerpo en la misma hoguera q los empleados de airbus en protesta por despidos arbitrarios es ahi donde se hace politica en la TRINCHERA ....</t>
  </si>
  <si>
    <t>Que es un Progre como @Pablo_Iglesias, @MonederoJC, @ierrejon @pnique "es aquel que se siente profundamente en deuda con el prójimo y propone saldar esa deuda con tu dinero."</t>
  </si>
  <si>
    <t>LaPlaza del Comercio</t>
  </si>
  <si>
    <t>¡Lo más "trend" lo tienes aquí, al lado de ti!. 🔵 Opticalia Donate.🕶 👓, GARANTIA y SERVICIO POST-VENTA🔵 ➡️Tu centro óptico y auditivo en Avda. Pablo Iglesias, 7 de Tarancón ☎️ 969 32 54 26 🖥</t>
  </si>
  <si>
    <t>http://www.plazadelcomercio.es/opticalia-donate/</t>
  </si>
  <si>
    <t>https://pbs.twimg.com/media/Dslq0miWoAAz8Yh.jpg</t>
  </si>
  <si>
    <t>#Ofertas, #promociones, noticias, lanzamientos de #productos y #servicios del #comercio y la #hostelería de #Tarancón, su comarca y la provincia de #Cuenca.</t>
  </si>
  <si>
    <t>http://www.plazadelcomercio.es</t>
  </si>
  <si>
    <t>Luisa Corcoba</t>
  </si>
  <si>
    <t>JC Arny</t>
  </si>
  <si>
    <t>@Parece ser que Pablo Iglesias se ha vuelto Neoliberal y Monárquico, dejando atrás sus Ideas y Pensamientos, como me temía, "otro Tsipras de Gracia a la española",</t>
  </si>
  <si>
    <t>Mijas (Málaga) - España</t>
  </si>
  <si>
    <t>Fotógrafo, Libertario, Racional. LIBERTAD, IGUALDAD Y JUSTICIA no pueden ser Censuradas ni Manipuladas,</t>
  </si>
  <si>
    <t>Amazing</t>
  </si>
  <si>
    <t>“Tan democrática es una monarquía como una república, siempre a condición de que garanticen las libertades”. La republica, otra cueva de nepotismo manteniendo políticos sin fin. Tribuna | ¿Para qué sirve hoy la monarquía?; por Pablo Iglesias  vía @el_pais</t>
  </si>
  <si>
    <t>Observador, que se fija. Ldo. Derecho, interesado en Filosofía, Ciencia y Cultura. Practico yoga, natación, boxeo y sobre todo lectura. A veces la ironía</t>
  </si>
  <si>
    <t>Dave the Duck</t>
  </si>
  <si>
    <t>I got Pablo Iglesias. 😃 RT @MikeH_PR: This is interesting to do</t>
  </si>
  <si>
    <t>https://twitter.com/MikeH_PR/status/1065496833181532160
https://www.theguardian.com/world/ng-interactive/2018/nov/21/how-populist-are-you-quiz?CMP=Share_AndroidApp_Tweet</t>
  </si>
  <si>
    <t>Bridgnorth, Shropshire</t>
  </si>
  <si>
    <t>Design. Artwork. Illustrations. Random stuff. All opinions my own. I may contradict myself.</t>
  </si>
  <si>
    <t>http://www.red68.co.uk</t>
  </si>
  <si>
    <t>FRANCISCO BERMUDEZ M</t>
  </si>
  <si>
    <t>Luis Luna</t>
  </si>
  <si>
    <t>“Que a la jefatura del Estado se acceda por elecciones y no por fecundación sería profundizar en nuestra democracia” Tribuna | ¿Para qué sirve hoy la monarquía?; por Pablo Iglesias</t>
  </si>
  <si>
    <t>Periodista. Ahora responsable de comunicación del Ayuntamiento de Moralzarzal. Aquí, opiniones personales</t>
  </si>
  <si>
    <t>http://about.me/luis_luna</t>
  </si>
  <si>
    <t>María Josefa García Elbal</t>
  </si>
  <si>
    <t>"Convertir Bankia en una banca pública" (Pablo Iglesias a Pedro Sánchez)  vía @YouTube</t>
  </si>
  <si>
    <t>https://youtu.be/MiXC31LRraU</t>
  </si>
  <si>
    <t>Pedro Rivera</t>
  </si>
  <si>
    <t>Varapalo de la Comisión Europea al borrador presupuestario de Pedro Sánchez y Pablo Iglesias. La Comisión avisa de una «desviación significativa de la senda de ajuste» y cuestiona la credibilidad de su plan de ingresos.</t>
  </si>
  <si>
    <t>https://www.laverdad.es/economia/comision-europea-critica-20181121135538-ntrc_amp.html?__twitter_impression=true</t>
  </si>
  <si>
    <t>https://pbs.twimg.com/media/DslameFWoAA_kNE.jpg</t>
  </si>
  <si>
    <t>Consejero de Presidencia de la Región de Murcia. Abogado de vocación. Mis pasiones: los libros, el Cine, el Cómic y la Gastronomía. Cuenta personal</t>
  </si>
  <si>
    <t>juan carlos paredes</t>
  </si>
  <si>
    <t>buenos dias.. #republicaYA Tribuna | ¿Para qué sirve hoy la monarquía?; por Pablo Iglesias  vía @el_pais</t>
  </si>
  <si>
    <t>Periodista , bancario reconvertido a mi pesar , runner ....con la integridad y verdad en la mochila de la vida . Republicano y del Atleti para siempre.</t>
  </si>
  <si>
    <t>Ramón de Veciana Batlle</t>
  </si>
  <si>
    <t>Ls nueva política era esto; parejas en política como otra forma de nepotismo: Los 'Clinton de Cádiz' no quieren saber de Pablo Iglesias  vía @elmundoes</t>
  </si>
  <si>
    <t>Abogado. En Abogados catalanes por la Constitución @acatxconst</t>
  </si>
  <si>
    <t>Maximino Alvarez</t>
  </si>
  <si>
    <t>Referéndums en las universidades españolas, mociones en los ayuntamientos y líderes políticos, como Pablo Iglesias o Alberto Garzón, que piden...</t>
  </si>
  <si>
    <t>Asturias España</t>
  </si>
  <si>
    <t>Un tevergano de un pueblín perdido entre las montañas astures, en busca de un mundo más justo.</t>
  </si>
  <si>
    <t>Carles Campdepadrós García</t>
  </si>
  <si>
    <t>Leyendo esta frase de Hanna Arendt, me vino a la mente Pablo Iglesias y su casoplón de Galapagar... "El revolucionario más radical se convertirá en un conservador el día después de la revolución."</t>
  </si>
  <si>
    <t>Licenciado en Ciencias Políticas, Master en Gestión de la Ciudad, Experto en Derecho Urbanístico, Instructor de Artes Marciales</t>
  </si>
  <si>
    <t>Sebastian L. Vallarta Azuara</t>
  </si>
  <si>
    <t xml:space="preserve">Mexico City. </t>
  </si>
  <si>
    <t>Derecho @UNAM_MX.</t>
  </si>
  <si>
    <t>RAUL CONDE GONZALEZ</t>
  </si>
  <si>
    <t>Según @guardian políticamente estoy más cerca de Angela Merkel y muy alejado de Pablo Iglesias 👍si quieren hacer el test ingresen aquí</t>
  </si>
  <si>
    <t>https://pbs.twimg.com/media/DslMgHVVYAA7CYZ.jpg</t>
  </si>
  <si>
    <t>Puebla, Pue.</t>
  </si>
  <si>
    <t>Consultor SAP BW, Proveedor de Factura Electrónica, Esposo Enamorado, Orgulloso Padre, Borrracho Empedernido, PANista silvestre, en resumen, pecador estandar</t>
  </si>
  <si>
    <t>http://www.xpd.mx</t>
  </si>
  <si>
    <t>El Islam y los Yagos</t>
  </si>
  <si>
    <t>Veo en Avilés y Gijón calles dedicadas a Pablo Iglesias y quisiera, por afán de saber, quién es y qué méritos y aportaciones a la sociedad q hizo el personaje al que se le da tal honor. En qué forma ha contribuido a la reconciliación y la memoria histórica. La VERDAD ¿hace daño?</t>
  </si>
  <si>
    <t>Prepirineo</t>
  </si>
  <si>
    <t>Pablo Andrés Loaiza</t>
  </si>
  <si>
    <t>Por aquí les dejo un test de The Guardian: How populist are you?  Me conforta saber que mi antípoda política es Pablo Iglesias :3</t>
  </si>
  <si>
    <t>https://pbs.twimg.com/media/Dsk__-AWsAENIhq.jpg</t>
  </si>
  <si>
    <t>Medellín, Colombia.</t>
  </si>
  <si>
    <t>Generador de opinión | Estudiante C. Política | Classic Liberal, Demócrata, falsacionista, agnóstico | http://Instagram.com/PabloLoaizaB</t>
  </si>
  <si>
    <t>https://www.facebook.com/PabloLoaizaB</t>
  </si>
  <si>
    <t>PABLO IGLESIAS, el mas audaz entre los ignorantes FISIOGNOMÍA 🌎 SIN LIBERTAD DE ELEGIR, ⚠️ SINTESIS ADEFÉSICA,</t>
  </si>
  <si>
    <t>https://goo.gl/6iSkEi?nlu57=1627497627</t>
  </si>
  <si>
    <t>Ex Ayatollah</t>
  </si>
  <si>
    <t>"You're most similar to: Pablo Iglesias". Ehhhh, yo a vos no te bardeé, Guardian, qué onda.</t>
  </si>
  <si>
    <t>You think that you can front when revelation comes?</t>
  </si>
  <si>
    <t>Emilio Diaz</t>
  </si>
  <si>
    <t>Mas cerca de Macron, mas lejos de Pablo Iglesias (Podemos). Nada que no supiera antes de hacer la encuesta, Guardián... RT @Emilio_Diaz86: How populist are you?</t>
  </si>
  <si>
    <t>https://twitter.com/Emilio_Diaz86/status/1065436196246036480
https://gu.com/p/9qt5q?CMP=share_btn_fb</t>
  </si>
  <si>
    <t>Libertario🐍. Rosarino en Bs As. Hincha de Newell's🔴⚫️, no de la hinchada. Licenciado en Adm. de Empresas 🎓</t>
  </si>
  <si>
    <t>Alfilo de la Brecha</t>
  </si>
  <si>
    <t>Estoy a mitad de camino entre Pablo Iglesias y Obama, ¿cómo de populista eres tu?</t>
  </si>
  <si>
    <t>https://pbs.twimg.com/media/DskrgivXgAEf95l.jpg</t>
  </si>
  <si>
    <t>La ciudad mas bonita del mundo</t>
  </si>
  <si>
    <t>Antropólogo, animador sociocultural y croupier. También soy de izquierdas, activista antifascista, humorista amateur y amo los pingüinos. Miro los MD de reojo</t>
  </si>
  <si>
    <t>https://www.youtube.com/c/alfilodelabrecha</t>
  </si>
  <si>
    <t>MARCELO BIANCHI</t>
  </si>
  <si>
    <t>"Es un hijo de puta pero es nuestro hijo de puta" Pablo Iglesias cita a Roosevelt</t>
  </si>
  <si>
    <t>https://www.youtube.com/attribution_link?a=94ntHQcW06w&amp;u=%2Fwatch%3Fv%3Db5exsq4TtYA%26feature%3Dshare</t>
  </si>
  <si>
    <t>http://raulmarcelo.blogspot.com</t>
  </si>
  <si>
    <t>El Nene Patriota 🇪🇸</t>
  </si>
  <si>
    <t>Pablo Iglesias, en estos momentos, más perdido que un pingüino en un desierto</t>
  </si>
  <si>
    <t>https://www.vozpopuli.com/_47124dc2</t>
  </si>
  <si>
    <t>Entre Castilla y Aragón</t>
  </si>
  <si>
    <t>Joven Abogado. Del Real Madrid. Mis principios: Familia, Cristianismo, Patria, Tradición, Ley y Orden. Según la prograda: machirulo, islamóbofo y facha.</t>
  </si>
  <si>
    <t>Lo más lejano a Pablo Iglesias 😅😅</t>
  </si>
  <si>
    <t>CdV Canarias</t>
  </si>
  <si>
    <t>Yo cuidare de la estabilidad de los precios ¡ay de quien se atreva a subir los precios!. Hitler, pero bien podría ser Pablo Iglesias</t>
  </si>
  <si>
    <t>Libertad individual, derecho de propiedad y Estado limitado. Delegación de @clubdeviernes Canarias #LET</t>
  </si>
  <si>
    <t>http://elclubdelosviernes.org</t>
  </si>
  <si>
    <t>Me salió Pablo Iglesias también. Pos me mato.</t>
  </si>
  <si>
    <t>Inconforme, fracasado, inquebrantable. De sueños claros y ojos borrosos. Padre de familia y personaje de ficción. Comediante y podcaster.</t>
  </si>
  <si>
    <t>http://www.comopanatedigo.com</t>
  </si>
  <si>
    <t>RETOGENES El Caraunio</t>
  </si>
  <si>
    <t>Una herencia de más de un millón de euros avala la compra del casoplón de Iglesias y Montero  via @chicrevista</t>
  </si>
  <si>
    <t>https://www.libertaddigital.com/chic/corazon/2018-05-19/una-herencia-de-mas-de-un-millon-de-euros-avala-la-compra-del-casoplon-de-pablo-iglesias-e-irene-montero-1276618976/</t>
  </si>
  <si>
    <t>Norte de I-span-ya.30.10.2018</t>
  </si>
  <si>
    <t>La vida es muy http://peligrosa.No por las personas que hacen el mal,sino por los que se sientan a ver lo que pasa.</t>
  </si>
  <si>
    <t>Pablo Iglesias justifica darle unos puñetazos a "gentuza de clase más baja que la suya" en</t>
  </si>
  <si>
    <t>http://www.periodistadigital.tv/pablo-iglesias-justifica-darle-unos-punetazos-a-gentuza-de-clase-mas-baja-que-la-suya_5e0c8630d.html</t>
  </si>
  <si>
    <t>Pablo Iglesias de Podemos "eran lúmpenes, gentuza de clase más baja que ...  via @YouTube</t>
  </si>
  <si>
    <t>https://youtu.be/1zKl-ybgbm0</t>
  </si>
  <si>
    <t>Joselu</t>
  </si>
  <si>
    <t>Las 'memeces' de un caradura llamado Pablo Iglesias  vía @Periodistadigit</t>
  </si>
  <si>
    <t>https://www.periodistadigital.com/politica/partidos-politicos/2018/11/20/las-memeces-de-un-caradura-llamado-pablo-iglesias.shtml</t>
  </si>
  <si>
    <t>Regne de Valencia.españa</t>
  </si>
  <si>
    <t>Español de izq .nuca podemita y monárquico (mientras no hayan políticos serios) ósea nunca</t>
  </si>
  <si>
    <t>Antonio Jesus</t>
  </si>
  <si>
    <t>Pablo Iglesias:”la bandera tricolor es el símbolo de los perdedores y no volverá a resurgir”  Compartido desde Discover</t>
  </si>
  <si>
    <t>si vis pacem para bellum .</t>
  </si>
  <si>
    <t>Maribel</t>
  </si>
  <si>
    <t>He visto la entrevista de Pablo Iglesias en Deforme Semanal. Es mejor que vaya subiendo algunas partes del vídeo. Pablo reconoce la gran metedura de pata con la foto de él, Errejón y Espinar posando en el letrero aquel que decía "Nosotras"</t>
  </si>
  <si>
    <t>pic.twitter.com/PiZw8ELYva</t>
  </si>
  <si>
    <t>Kasi 🍋 💚</t>
  </si>
  <si>
    <t>Lo importante es que el más lejano a mi, es Pablo Iglesias, el impresentable de podemos.</t>
  </si>
  <si>
    <t>que tipo noble el pan con manteca.</t>
  </si>
  <si>
    <t>podemos</t>
  </si>
  <si>
    <t>Poderoso discuros de Pablo Iglesias presentando Propuesta de Unidos Podemos para que los bancos paguen impuestos y así devuelvan el dinero del rescate.</t>
  </si>
  <si>
    <t>https://youtu.be/dJQamM0sPOk</t>
  </si>
  <si>
    <t xml:space="preserve">poolinesia </t>
  </si>
  <si>
    <t>La libertad de amar no es menos sagrada que la libertad de pensar. Lo que hoy se llama adulterio, antaño se llamó herejía. Victor Hugo</t>
  </si>
  <si>
    <t>Rafael Colunga 🇪🇸🇪🇺</t>
  </si>
  <si>
    <t>Por primera vez en los años que llevo en twiter me han eliminado un twuit y... No han sido los militares, ni la guardia civil, ni si quiera los populares o los ciudaditas ni los sunanistas de Susana la de los Eres. Imaginaros... Collons! Han sido los podemitas de Pablo Iglesias. RT @iRafaelColunga: Los tiempos están cambiando Pablo.</t>
  </si>
  <si>
    <t>https://twitter.com/irafaelcolunga/status/1056605378941730816
https://twitter.com/LaRetuerka/status/1056541042357559296</t>
  </si>
  <si>
    <t>Sevilla, Cadiz y Costa del sol</t>
  </si>
  <si>
    <t>Empresario y padre de tres hijos. Enamorado de la literatura, el arte y la música. Durante más de 30 años dedicado a los hoteles, el turismo y los viajes.</t>
  </si>
  <si>
    <t>Pedro Jose</t>
  </si>
  <si>
    <t>Pablo Iglesias, Monedero, Errejon, Echenique, Colau, Carmena, Garzón, Teresa Rodríguez, Kichi, Irene Montero, Tania, Espinar... concejales y simpatizantes de Podemos, sus marcas e incluso su socio Sánchez, sois la mayor vergüenza de España, COMPLICES DE LA DICTADURA DE MADURO RT @TorresAren: EN #200AñosRepúblicaDeVenezuela NUNCA Se habían visto estás atrocidades como las que hace la GUARDIA NAZI-ONAL del DICTADOR NICOLÁS MADURO En el ESTADO FALCÓN VENEZUELA A los opositores alREGIMEN Y la comunidad internacional🤐 #21Nov #22Nov #FelizMiercoles</t>
  </si>
  <si>
    <t>SUFERRE NOCTEM</t>
  </si>
  <si>
    <t>Son los mismos que consideran que Pablo Iglesias es comunista..... sí, deficientes. RT @yaizaguerrero99: Pensar que Sánchez dio un golpe de estado no es de ser un poco deficiente?</t>
  </si>
  <si>
    <t>https://twitter.com/yaizaguerrero99/status/1065264210660245504</t>
  </si>
  <si>
    <t>ASTURIES/GALIZA</t>
  </si>
  <si>
    <t>El pavo de la muleta en San Martiño. RAP. BAD NEWS MC 💀</t>
  </si>
  <si>
    <t>Dr Colorado</t>
  </si>
  <si>
    <t>He hecho el juego ese de la política que estáis pasando y salgo en el cuadrado de debajo de Pablo Iglesias. Podríamos decir que sería Pablo Parroquias?</t>
  </si>
  <si>
    <t>Vallekas</t>
  </si>
  <si>
    <t>R4 de guardias. Opino (mal) de cosas a ratos. Una vez fui el músico de una boda.</t>
  </si>
  <si>
    <t>C.C. (not your buddy) Baxter</t>
  </si>
  <si>
    <t>Al sur de Pablo Iglesias</t>
  </si>
  <si>
    <t>https://pbs.twimg.com/media/DskKD1PWwAA4gCq.jpg</t>
  </si>
  <si>
    <t>Consolidated Life, 19th floor</t>
  </si>
  <si>
    <t>Oficinista, malvado y héroe romántico, todo a tiempo parcial. Nunca molé.</t>
  </si>
  <si>
    <t>https://medium.com/@c_c_baxter</t>
  </si>
  <si>
    <t>PP de Sevilla</t>
  </si>
  <si>
    <t>🗣️ @zoidoJI: "¿Alguien puede ver normal que el PSOE mande a Pablo Iglesias a negociar los Presupuestos a la cárcel?" #DebatesCanalSur #GarantíaDeCambio El #2D #VotaGarantíaDeCambio</t>
  </si>
  <si>
    <t>https://pbs.twimg.com/media/DskI2fmXQAIcKsu.jpg</t>
  </si>
  <si>
    <t>Twitter oficial del Partido Popular de Sevilla</t>
  </si>
  <si>
    <t>http://www.ppsevilla.com</t>
  </si>
  <si>
    <t>Pedro González</t>
  </si>
  <si>
    <t>🗣️ @zoidoJI: "¿Alguien puede ver normal que el PSOE mande a Pablo Iglesias a negociar los Presupuestos a la cárcel?" #DebatesCanalSur</t>
  </si>
  <si>
    <t>https://pbs.twimg.com/media/DskH_IFWoAE18g1.jpg</t>
  </si>
  <si>
    <t>Tomares,Sevilla,Andalucía,ESP</t>
  </si>
  <si>
    <t>Vicesecretario de Organización de @nngg_es. Presidente de @nnggsevilla. Concejal-Delegado de Juventud en el Ayto. de @Tomares_es.</t>
  </si>
  <si>
    <t>https://www.osoigo.com/es/p/pedro-gonzalez-rodriguez-albarino.html</t>
  </si>
  <si>
    <t>PROYECTO: RaGe</t>
  </si>
  <si>
    <t>I liked a @YouTube video  Arquitecta analiza el CHALET de Pablo Iglesias e Irene Montero</t>
  </si>
  <si>
    <t>http://youtu.be/v2_qo6LMSsA?a</t>
  </si>
  <si>
    <t>Youtuber | Me encantan los videojuegos y el Rap | #LoL #CoD #Rap</t>
  </si>
  <si>
    <t>https://www.youtube.com/channel/UCS9vC-nw0DJK2He-wG9Wlsw</t>
  </si>
  <si>
    <t>Miguel González</t>
  </si>
  <si>
    <t>Pedro Sánchez babeando ante el Mausoleo d MOHAMED. CASTEJÓN utiliza a Franco para camuflar...LO FALSO, INJUSTO Y PREPOTENTE (tb tontin) SIN DIGNIDAD CON QUE ESTÁ MALGOBERNANDO ESPAÑA. CASTEJÓN aprendió rápido el método d Pablo Iglesias...PURGAR A TODOS LOS Q NO LE BAILEN EL AGUA</t>
  </si>
  <si>
    <t>Noatxell 🇪🇸 ي ن</t>
  </si>
  <si>
    <t>Estos son los amigos de Pablo Iglesias y Podemos... los socios del Gobierno de España. RT @TorresAren: EN #200AñosRepúblicaDeVenezuela NUNCA Se habían visto estás atrocidades como las que hace la GUARDIA NAZI-ONAL del DICTADOR NICOLÁS MADURO En el ESTADO FALCÓN VENEZUELA A los opositores alREGIMEN Y la comunidad internacional🤐 #21Nov #22Nov #FelizMiercoles</t>
  </si>
  <si>
    <t>No te pongas en el lado malo de un argumento simplemente porque tu oponente se ha puesto en el lado correcto. Baltasar Gracián</t>
  </si>
  <si>
    <t>Marmerbc</t>
  </si>
  <si>
    <t>Pablo Iglesias desmonta la "honradez" del Partido Popular  vía @YouTube</t>
  </si>
  <si>
    <t>https://youtu.be/CFGLITa5jME</t>
  </si>
  <si>
    <t>Madre, mujer, trabajadora, y pensante. Si no te quejas es que estas de acuerdo con lo que ocurre</t>
  </si>
  <si>
    <t>Mara Diaz</t>
  </si>
  <si>
    <t>Si Pablo Iglesias, el de verdad, no el quiero y no puedo de la coleta, viese lo q Sánchez está haciendo con el Psoe le daría una somanta palos q le deja sin hálito un quinquenio. El Psoe de Sánchez deja vendido a Borrell ante ERC.... Estoy echando de menos a Rajoy</t>
  </si>
  <si>
    <t>Graduada Social,Profe de F.P,Marmota x vocación. No soy borde,soy simpática selectiva.🐼💙🐼 #dependientahastaelpapo #bibliapruces #bibliagobierno</t>
  </si>
  <si>
    <t>https://www.facebook.com/Me-lo-dices-o-me-lo-cuentas-Te-lo-cuento-1209658342506537/</t>
  </si>
  <si>
    <t>A lo Pablo Iglesias. Si pierdo me voy. Yo o nadie. Muy democrático. El sueldo no tiene nada que ver. ¡Valiente cara dura! RT @elmundoes: Manuela Carmena dejará la política si no es elegida alcaldesa de Madrid en 2019</t>
  </si>
  <si>
    <t>https://twitter.com/elmundoes/status/1065350941187149825
https://trib.al/BnTGry8</t>
  </si>
  <si>
    <t>Froilán I de España</t>
  </si>
  <si>
    <t>¿Cómo? ¿Que unos presupuestos diseñados entre Calviño, Pablo Iglesias, Pedro Sánchez y Alberto Garzón son menos fiables que si los hubiera redactado Pocholo tras una rave en Ibiza? Si no me lo dicen, no me lo creo.</t>
  </si>
  <si>
    <t>La mano dura de la monarquía. En el juego de tronos de España, sólo se puede ser Froilán o morir. Parodia. ¿no? froilancitorey@gmail.com</t>
  </si>
  <si>
    <t>https://eltronodefroilan.wordpress.com/</t>
  </si>
  <si>
    <t>avelino julian</t>
  </si>
  <si>
    <t>☭ Xixon ☭ Asturias ☭ 💯</t>
  </si>
  <si>
    <t>Ya no trabajo y vivo... de momento.</t>
  </si>
  <si>
    <t>Reflexiones</t>
  </si>
  <si>
    <t>Hombre, algo de razón lleva Wall-e...Las payasadas de Rufián eclipsan las de Pablo Iglesias, y eso es bastante injusto... RT @pnique: A lo mejor, entre los gritos de "fascistas" y "golpistas" y el escupitajo fantasma a Borrell, se les olvida contarte que @Pablo_Iglesias_ ha propuesto a @sanchezcastejon que los 22.000 millones que nos costó Bankia sirvan para tener una banca pública como en Alemania u Holanda.</t>
  </si>
  <si>
    <t>Español y Catalán. A favor de la República de Tabarnia 🤔</t>
  </si>
  <si>
    <t>Flor María Fernández</t>
  </si>
  <si>
    <t>Cuando Pablo Iglesias fantaseaba sobre Mariló: "La azotaría hasta que sangrase..."</t>
  </si>
  <si>
    <t>Asturias ,Aviles.</t>
  </si>
  <si>
    <t>ESPAÑOLA. ASTURIANA DE AVILÉS.CATOLICA. ORGULLOSA DE SER ESPAÑOLA.</t>
  </si>
  <si>
    <t>María Sol GLEZ SANT</t>
  </si>
  <si>
    <t>Un audio robado hunde a Pablo Iglesias: cócteles Molotov contra la Guardia Civil  vía @ESdiario_com</t>
  </si>
  <si>
    <t>https://www.esdiario.com/863352693/Un-audio-robado-hunde-a-Pablo-Iglesias-cocteles-molotov-contra-la-Guardia-Civil.html</t>
  </si>
  <si>
    <t>HONOR A LOS QUE DAN SU VIDA POR AMOR, SIN DUDAR. 🙏➕🙏➕🙏 "ZAFARRANCHO ORACIÓN" POR LA PAZ EN SYRIA... POR LA CONVERSIÓN DE ESPAÑA,</t>
  </si>
  <si>
    <t>¡CERDO ASQUEROSO!... Audio prohibido de Pablo Iglesias, noticia ESdiario.   vía @YouTube</t>
  </si>
  <si>
    <t>http://www.esdiario.com
https://youtu.be/f1I1g-UDUSQ</t>
  </si>
  <si>
    <t>Karlos G.</t>
  </si>
  <si>
    <t>Pablo Iglesias dijo que si no ganaba se iba, ya ves tú. RT @eldiarioes: ÚLTIMA HORA | Manuela Carmena: "No me quedaré en la oposición si pierdo las elecciones"  Por @FatymaCaballero</t>
  </si>
  <si>
    <t>https://twitter.com/eldiarioes/status/1065346828147834885
https://www.eldiario.es/madrid/Manuela-Carmena-quedare-oposicion-elecciones_0_838167372.html</t>
  </si>
  <si>
    <t>https://pbs.twimg.com/media/DsjfRatWkAYyNnU.jpg</t>
  </si>
  <si>
    <t>Miope adicto al Almax, está rico. Disléxico eventual. De naturaleza torpe. Sinsorgo.</t>
  </si>
  <si>
    <t>Marilina</t>
  </si>
  <si>
    <t>A ver si Pablo Iglesias aprende de Laso a hablar inglés, no le iría mal 😏😂</t>
  </si>
  <si>
    <t>de Madrid al cielo</t>
  </si>
  <si>
    <t>This is Eduardoandrés 🦏</t>
  </si>
  <si>
    <t>Por lo menos no me salió Pablo Iglesias ni Rafael Correa de la verga.</t>
  </si>
  <si>
    <t>https://pbs.twimg.com/media/Dsj5jHEVYAADYO2.jpg</t>
  </si>
  <si>
    <t>Be something great.</t>
  </si>
  <si>
    <t>Paleógrafo 🇪🇸</t>
  </si>
  <si>
    <t>Vergüenza este Pablo Iglesias</t>
  </si>
  <si>
    <t>https://pbs.twimg.com/media/Dsj4J5oXcAAfqNe.jpg</t>
  </si>
  <si>
    <t>En los archivos</t>
  </si>
  <si>
    <t>Apasionado de la paleografía. Me encanta navegar entre los documentos para averiguar los entresijos de nuestro pasado medieval. Derechista orgulloso 🇪🇸.</t>
  </si>
  <si>
    <t>Peter Cántropo</t>
  </si>
  <si>
    <t>A mí en el test facha ese me ha salido que a quien menos me parezco es Pablo Iglesias. He llamado a mis padres para contárselo.</t>
  </si>
  <si>
    <t>Pernambuco - Sebastopol - Cochinchina - Babia - Tombuctú</t>
  </si>
  <si>
    <t>Cuando twitter no me cierra la cuenta me gusta mucho leeros Plataforma #Grabatusvideosapaisaos</t>
  </si>
  <si>
    <t>Vicente Fuentes</t>
  </si>
  <si>
    <t>Me ha gustado un vídeo de @YouTube ( - Pablo Iglesias).</t>
  </si>
  <si>
    <t>http://youtu.be/hDs2VA9IlgU?a</t>
  </si>
  <si>
    <t>LST</t>
  </si>
  <si>
    <t>Echo de menos cuando el @PSOE era de izquierdas... que diria Pablo iglesias en el año 1900...</t>
  </si>
  <si>
    <t>REPÚBLICA Y BARÇA🔥🔝 Opinión sin censura 👿 🎗</t>
  </si>
  <si>
    <t>Ho Chi Romero Lynn Turner</t>
  </si>
  <si>
    <t>Hace un tiempo ya de ésto,pero sabemos que el chalet de Pablo Iglesias es una imposición del Ministerio del Interior,verdad? O todavía pensamos que fue una elección personal?</t>
  </si>
  <si>
    <t>Daredevil 🇪🇸🇫🇷🇪🇺</t>
  </si>
  <si>
    <t>Pablo Iglesias reconoce su vinculación con Venezuela e Irán... Pero no dice a cambio de qué... #LaSilenciosaCat</t>
  </si>
  <si>
    <t>pic.twitter.com/QlwNkO71EE</t>
  </si>
  <si>
    <t>Estar preparados para la guerra es uno de los medios más eficaces para conservar la paz (George Washington).</t>
  </si>
  <si>
    <t>F.A.G.G.U.</t>
  </si>
  <si>
    <t>#ClandestinoVenezuela Lo estarán viendo Pablo Iglesias, Iñigo errejon, monedero, Echenique y todos los amigos de Chávez y maduro, que pensarán que David Beriain es un fascista por mostrar la realidad de Venezuela</t>
  </si>
  <si>
    <t>ESPAÑA Planeta Tierra</t>
  </si>
  <si>
    <t>queremos dejar un planeta mejor para nuestros hijos y quizás deberíamos dejar mejores hijos para el planeta</t>
  </si>
  <si>
    <t>http://notengoweb.com</t>
  </si>
  <si>
    <t>Pablo Iglesias pidiendo la liberación de los presos de ETA. #LaSilenciosaCat</t>
  </si>
  <si>
    <t>pic.twitter.com/tBeiteoySn</t>
  </si>
  <si>
    <t>Jafonti</t>
  </si>
  <si>
    <t>#dmax si Pablo Iglesias y compañía vieran el documental de Dmax #ClandestinoVenezuela no se como podría seguir diciendo que es un País al que envidian</t>
  </si>
  <si>
    <t>Pablo Iglesias en sus inicios con el chavismo acaba emocionandose escuchando a Chávez cuando vivía. #LaSilenciosaCat</t>
  </si>
  <si>
    <t>pic.twitter.com/FAEopkzz3Z</t>
  </si>
  <si>
    <t>Jacques Ramirez G.</t>
  </si>
  <si>
    <t>Comparto el I Cuadernos de Formación CELAG. PENSAMIENTO ESTRATÉGICO: HACER Y DECIR POLÍTICA EN AMÉRICA LATINA, en las que encontraran las conferencias magistrales de Pablo Iglesias y Ernesto Samper que dictaron a nuestros estudiantes.</t>
  </si>
  <si>
    <t>https://www.celag.org/cuadernos-de-formacion/</t>
  </si>
  <si>
    <t>Dr. en Antropologia Social. Especialista en Migraciones Internacionales. Pelotero, Actor ocasional, Ciudadano Suramericano y Universal.</t>
  </si>
  <si>
    <t>https://scholar.google.es/citations?hl=es&amp;user=fbDr4-cAAAAJ</t>
  </si>
  <si>
    <t>Pablo Iglesias pide en su programa de gobernante que la lucha contra la corrupción la haga Podemos 📣 MATERIA REPUBLICANA, 📣 ORGANIZAR LA VALENTIA,</t>
  </si>
  <si>
    <t>https://goo.gl/TdQNc4?san44=820672946</t>
  </si>
  <si>
    <t>José Luis</t>
  </si>
  <si>
    <t>Me ha gustado un vídeo de @YouTube ( - Pablo Iglesias: "¿Qué planes tiene el Gobierno para Bankia?").</t>
  </si>
  <si>
    <t>http://youtu.be/vqX67AnoYaM?a</t>
  </si>
  <si>
    <t>Jose 🇪🇸</t>
  </si>
  <si>
    <t>1 Bertín Osborne ataca GRAVEMENTE a Pablo Iglesias de PODEMOS Y lo compara...  vía @YouTube</t>
  </si>
  <si>
    <t>https://youtu.be/JiPTw8JIwkU</t>
  </si>
  <si>
    <t>Algeciras, España</t>
  </si>
  <si>
    <t>🇪🇸</t>
  </si>
  <si>
    <t>FANDULS</t>
  </si>
  <si>
    <t>Noah Loosli le futur crack ! Quel bon transfert de Pablo Iglesias</t>
  </si>
  <si>
    <t>LAUSANNE SPORT</t>
  </si>
  <si>
    <t>j’écris ce que je veux ACHARNÉ DU LAUSANNE SPORT</t>
  </si>
  <si>
    <t>VLenin</t>
  </si>
  <si>
    <t>Soy Obrero, COMUNISTA, MARXISTA-LENINISTA, anti-sistema (burgués-parlamentario), anti-productos del régimen (podemos, ciudadanos, etc...)</t>
  </si>
  <si>
    <t>Bertín Osborne ataca GRAVEMENTE a Pablo Iglesias de PODEMOS Y lo compara...  vía @YouTube 1</t>
  </si>
  <si>
    <t>Bertín Osborne ataca GRAVEMENTE a Pablo Iglesias de PODEMOS Y lo compara...  vía @YouTube</t>
  </si>
  <si>
    <t>Josillo</t>
  </si>
  <si>
    <t>De lo poco que me acuerdo este fin de semana en Madrid es de aquellos majos Venezolanos hablándonos de la gente de Podemos/Pablo Iglesias y les tenían más miedo que yo.</t>
  </si>
  <si>
    <t>Santo Reino.</t>
  </si>
  <si>
    <t>MarcoyMedio</t>
  </si>
  <si>
    <t>Que vergüenza y asco dais tod@s #comisariaaluche #asilopolitico #DDHH @sanchezcastejon @pablocasado @Albert_Rivera @Pablo_Iglesias @agarzon</t>
  </si>
  <si>
    <t>Buscando a mi mama desde 1880. Voy de los palelillos a los papers. En mi maleta? un mono y un tupper. Me gusta Heidi, pero nunca coincidimos.</t>
  </si>
  <si>
    <t>Lópezman 💯</t>
  </si>
  <si>
    <t>Vaya tropa. @Pablo_Iglesias @Irene_Montero @ierrejon @pnique @CBescansa @JM_Kichi @TeresaRodr RT @sextaNoticias: Una senadora de Podem demanda a tres compañeros de partido por injurias: denuncia que dijeron que "llega borracha al Senado"</t>
  </si>
  <si>
    <t>https://twitter.com/sextaNoticias/status/1065309899100471297
http://atres.red/ogozd3</t>
  </si>
  <si>
    <t>Maestro de primaria. No comparto todo lo que RT. Bloqueo a la primera falta de respeto. No me gusta la extrema izquierda ni la extrema derecha. Socio del VCF.</t>
  </si>
  <si>
    <t>Roberto Ríos</t>
  </si>
  <si>
    <t>Que Leticia Dolera eche a una embarazada o que Pablo Iglesias se vaya a vivir con la casta casposa no te tienen que hacer desistir en tu lucha por el feminismo y por la clase obrera. Te tiene que curar de quienes te toman por estúpido para poder vivir del cuento.</t>
  </si>
  <si>
    <t>Si tiene solución ¿para qué te preocupas? Si no la tiene ¿para qué te preocupas? Athletic Club por encima de todo.</t>
  </si>
  <si>
    <t>PM</t>
  </si>
  <si>
    <t>Qué tan populista sos? A mí me salió Pablo Iglesias 👀</t>
  </si>
  <si>
    <t>https://pbs.twimg.com/media/DsjoagYXgAEX91e.jpg</t>
  </si>
  <si>
    <t>Corrientes</t>
  </si>
  <si>
    <t>Periodista. Jefe de Redacción Digital en el @diarioellitoral de Corrientes. Feliz luchando por lo que creo. Las opiniones acá expresadas son personales.</t>
  </si>
  <si>
    <t>http://pablomiguel.com.ar</t>
  </si>
  <si>
    <t>Entrevista a Albert Rivera RIVERA es MÁS PELIGROSO que PABLO IGLESIAS 🌍 Dejar un comentario, 🔈 LO CIVIL Y LO POLITICO,</t>
  </si>
  <si>
    <t>https://goo.gl/LgNNqq?xib53=9002453556</t>
  </si>
  <si>
    <t>Alfonso</t>
  </si>
  <si>
    <t>Rufian y compañía, 7.000 al mes por hacer el payaso y lo que su público quiere. No hay ideología ni nada de nada, como Pablo Iglesias y resto. Sólo quieren DINERO!!!</t>
  </si>
  <si>
    <t>Ingeniero T. Agrícola. Liberal.Capitalista. No venderé mi alma al Estado! Nunca permitas que el sentido de la moral, te impida hacer el bien. ¡Viva Tabarnia!</t>
  </si>
  <si>
    <t>Daniel Quero</t>
  </si>
  <si>
    <t>Señora presidenta @anapastorjulian usted no tiene derecho a quitar NADA del diario de sesiones del Congreso. Si eso lo hubiera hecho Romanones el 7 de julio de 1910 no tendríamos constancia de esta amenaza de Pablo Iglesias al presidente Maura #eldiariodesesionesnosetoca</t>
  </si>
  <si>
    <t>Jaén.Capital del Santo Reino</t>
  </si>
  <si>
    <t>ESPAÑA Y CONSTITUCIÓN https://youtu.be/RkW5pRowdK8 V.E.R.D.E.</t>
  </si>
  <si>
    <t>Felipe prefiere al Rey y "hasta" a Franco que la República que exige Podemos González lanza un mensaje contundente a Pedro Sánchez y otro más duro a Pablo Iglesias, tras meses de silencio. Un aviso que puede catalizar al sector crítico del PSOE</t>
  </si>
  <si>
    <t>https://pbs.twimg.com/media/DsjiwBuWoAAxn0d.jpg</t>
  </si>
  <si>
    <t>https://pbs.twimg.com/media/DsjiheBXgAA7-X6.jpg</t>
  </si>
  <si>
    <t>#CaminoDeLaRepública y el chalé que te cagas de Pablo Iglesias e Irene Montero.</t>
  </si>
  <si>
    <t>Caláma WasJulie WasCalama</t>
  </si>
  <si>
    <t>Ana Morgade: ¿Tú eres twittero? Pablo Iglesias: Pero yo doy de los que sufre, a veces me busco y pienso "pero joder por qué hay tanta gente que me odia" Y por eso el fandom hacía una gran labor social, Pablo se buscaba y se sentía querido xD</t>
  </si>
  <si>
    <t>Luna Rossa</t>
  </si>
  <si>
    <t>#RazonesPoliticas | was errehot</t>
  </si>
  <si>
    <t>efejota✌</t>
  </si>
  <si>
    <t>Algo de verdad y mucho de lo que quiere que sea el autor del articulo! En @elconfidencial: Pablo Iglesias ya no da miedo y enfila el camino a Santa Elena</t>
  </si>
  <si>
    <t xml:space="preserve"> sevilla</t>
  </si>
  <si>
    <t>Marino Mercante, Ingeniero Cervecero. Fan del populismo transversal de Errejón.✌ Asqueado de los trapos de colores¡ INDIGNADO CON EL CASOPLON!</t>
  </si>
  <si>
    <t>Madre mía, adelantando a Pablo Iglesias por la izquierda! Y eso que contesté muy moderadita ☺️</t>
  </si>
  <si>
    <t>https://pbs.twimg.com/media/DsjfFG1XcAYMqZE.jpg</t>
  </si>
  <si>
    <t>Países Bajos</t>
  </si>
  <si>
    <t>Observadora participante en proceso de formación. Borro más que escribo.</t>
  </si>
  <si>
    <t>Luis Alberto Gómez</t>
  </si>
  <si>
    <t>Diga usted q si!!!!! Q brillante D. Pablo Iglesias. Así de forma progresista volvemos a repetir el desfalco que los políticos hicieron con las Cajas de Ahorros. Todas recuperadas con el dinero de nuestros impuestos. Dejen de tomarnos el pelo con sus cuentos. RT @Pablo_Iglesias_: El Gobierno del PP nacionalizó Bankia con el dinero de todos los españoles. ¿Qué sentido tiene privatizarla ahora que la hemos saneado? Lo sensato es que Bankia funcione como banca pública, al servicio de la ciudadanía. Así se lo he dicho a Pedro Sánchez en el Congreso 👇🏽</t>
  </si>
  <si>
    <t>Admiro la vida, la belleza y la buena comida. Inquieto x aprender a ser mejor persona y profesional. Defensor de las maravillas que nos han regalado.</t>
  </si>
  <si>
    <t>MJGP</t>
  </si>
  <si>
    <t>En @elconfidencial: Venezuela pagó 7 millones a Iglesias y Monedero para extender el bolivarismo</t>
  </si>
  <si>
    <t>https://www.elconfidencial.com/espana/2016-04-04/financiacion-ilegal-podemos-venezuela-pago-millones-pablo-iglesias-juan-carlos-monedero-jorge-vestrynge_1178845/?utm_campaign=BotoneraWebapp&amp;utm_source=twitter&amp;utm_medium=social</t>
  </si>
  <si>
    <t>Jose Antonio Gómez Torres</t>
  </si>
  <si>
    <t>#CaminoDeLaRepública donde Pablo Iglesias es presidente/dictador, Echenique vicepresidente, Otegi ministro de justicia, Puigdemont de relaciones exteriores, Rufián de educación, Willy Toledo de cultura, Leticia Dolera de igualdad, Errejón de racionamiento, Monedero de economía...</t>
  </si>
  <si>
    <t>Persona con pensamiento propio. No a las 'Fake News'. Liberal anticomunista. Si no te gusta lo que escribo, no me leas.</t>
  </si>
  <si>
    <t>David Castillo</t>
  </si>
  <si>
    <t>Mandando los socialistas en coalición con podemos de Pablo iglesias lo veo imposible. Prefieren mirar a otro lado. La izquierda tiene el poder ahorita en España y Pedro Sanchez hará lo que Zapatero le pida. RT @AlbertoRavell: Julio Borges pide a España que se sume a la presión por la transición en Venezuela</t>
  </si>
  <si>
    <t>https://twitter.com/AlbertoRavell/status/1065338092427636738
http://j.mp/2S0YIEq</t>
  </si>
  <si>
    <t xml:space="preserve"> VENEZUELA  Barinas</t>
  </si>
  <si>
    <t>Venezolano. De Derechas siempre.</t>
  </si>
  <si>
    <t>🚀👩🏻‍🚀</t>
  </si>
  <si>
    <t>Dos UF desde que me salió Pablo Iglesias y puse que me daba vergüenza ajena la catalanofobia: JAJAJAJAJAJAJAJAJAJAJA</t>
  </si>
  <si>
    <t>pic.twitter.com/ohgq4hcC5I</t>
  </si>
  <si>
    <t>Frente Patriótico Alfred García Castillo. ¡LATINA AND PROUD! 💅🏻</t>
  </si>
  <si>
    <t>rickyesteves 💚</t>
  </si>
  <si>
    <t>Test de populismo: Me dio Pablo Iglesias.</t>
  </si>
  <si>
    <t>https://pbs.twimg.com/media/DsjZ1QpXQAIuoNz.jpg</t>
  </si>
  <si>
    <t>Buenos Aires</t>
  </si>
  <si>
    <t>Si la vida te da limones pide sal y tequila. http://rickyesteves.blogspot.com</t>
  </si>
  <si>
    <t>http://www.instagram.com/rickyesteves</t>
  </si>
  <si>
    <t>(exageraciones varias) ... Íñigo se hizo con el partido en Madrid. Llegó a tener 100 liberados, que yo...</t>
  </si>
  <si>
    <t>https://www.elconfidencial.com/espana/2018-11-18/desencanto-podemos-circulos-pablo-iglesias-carmena_1653050/?utm_source=facebook&amp;utm_medium=social&amp;utm_campaign=BotoneraWeb</t>
  </si>
  <si>
    <t>Ni Dios ni Rey</t>
  </si>
  <si>
    <t>Ya lo dijo Pablo Iglesias Posse: "Si alguna vez me aplaude la derecha en este hemiciclo, espero que mis camaradas me echen a los tiburones" Borrell no sabe quien es ese Pablo Iglesias Posse.</t>
  </si>
  <si>
    <t>Esperando el Asteroide de 10Km de diámetro que nos ponga en nuestro sitio. "Periodista de Investigación Superficial"</t>
  </si>
  <si>
    <t>leon 🦁✨</t>
  </si>
  <si>
    <t>El tuit se ha viralizado al darle fav Pablo Iglesias y hay gente recriminándome que me enfade lol esto es twitter evidentemente no voy por la vida real apuñalando a todo el que no entiende mi carrera hijos míos</t>
  </si>
  <si>
    <t>Jaén - Granada</t>
  </si>
  <si>
    <t>LG(B)(T). [He/him] Cosplayer. Hablo de anime, italianos y musicales. Stan n°1 de Sacha Baron Cohen. CCPP en la UGR. -𝟚𝟜𝟞𝟘𝟙- 🎗</t>
  </si>
  <si>
    <t>https://linktr.ee/whoiscoming_</t>
  </si>
  <si>
    <t>D.U.S.T.I.N.</t>
  </si>
  <si>
    <t>Estoy cerca del húngaro Orbán (amo todo) y a mis antípodas el mierda de Pablo Iglesias.</t>
  </si>
  <si>
    <t>https://pbs.twimg.com/media/DsjYGlyXgAAuXNw.jpg</t>
  </si>
  <si>
    <t>Vietnam</t>
  </si>
  <si>
    <t>Licenciado en cosas aleatorias. Saigón, 1967. Liberalismo Clásico, orden social y pro-tecnología.</t>
  </si>
  <si>
    <t>Rosa Tamés</t>
  </si>
  <si>
    <t>Soy feminista y no comparto en absoluto la visión y maneras de Barbijaputa ni Leticia Dolera y no por ello soy menos o peor feminista. Igual que soy de izquierdas y no me identifico en absoluto con Pablo Iglesias ni con Garzón. Creo en las causas, NO en sus abanderados. Fin ✊🏽</t>
  </si>
  <si>
    <t>🍆</t>
  </si>
  <si>
    <t>https://www.instagram.com/asturrosa/</t>
  </si>
  <si>
    <t>#Congreso Pablo Iglesias, presidente de @ahorapodemos usó su participación para consultarle a @sanchezcastejon cuáles son los planes del Ejecutivo español respecto al destino de la participación del Estado en @HolaBankia</t>
  </si>
  <si>
    <t>pic.twitter.com/GgCUe2dRsR</t>
  </si>
  <si>
    <t>Michael Parker</t>
  </si>
  <si>
    <t>I'm Pablo Iglesias.</t>
  </si>
  <si>
    <t>derbyshire</t>
  </si>
  <si>
    <t>Rough Justice.</t>
  </si>
  <si>
    <t>http://www.crimefictionlover.com</t>
  </si>
  <si>
    <t>Sofia</t>
  </si>
  <si>
    <t>GRACIAS PABLO IGLESIAS RT @Pablo_Iglesias_: "Todos contribuirán al sostenimiento de los gastos públicos de acuerdo con su capacidad económica [...]" Art 31.1 CE. El impuesto de solidaridad a la banca es posible y es de justicia. España necesita que la banca deje de tener privilegios y pague lo que debe a la ciudadanía.</t>
  </si>
  <si>
    <t>Sabadell, España</t>
  </si>
  <si>
    <t>L I E B R E L U N A R</t>
  </si>
  <si>
    <t>Pablo Iglesias me intentó matar el otro día así que confirmo esta foto RT @BlasyDora: @JosPastr El comunismo es la ideología que más muertes ha causado, miseria, pobreza y ruina para la humanidad.</t>
  </si>
  <si>
    <t>https://twitter.com/BlasyDora/status/1065262611380535299</t>
  </si>
  <si>
    <t>https://pbs.twimg.com/media/DsiSsESXgAEsE_7.jpg</t>
  </si>
  <si>
    <t>Tierras de la España este</t>
  </si>
  <si>
    <t>Actor de teatro a ratos. Viva Andorra</t>
  </si>
  <si>
    <t>https://www.youtube.com/channel/UCpcphptVzC6oVxcf8-ilBUg</t>
  </si>
  <si>
    <t>Rugen Las Flores 🌬💨👩🏻‍🚀</t>
  </si>
  <si>
    <t>Por favor los que os salga Pablo iglesias en el test venid a llorar conmigo</t>
  </si>
  <si>
    <t>En el final de algo</t>
  </si>
  <si>
    <t>LibertinoFrancachela</t>
  </si>
  <si>
    <t>#FelizMiércoles El sábado 24, a las 11:00h, Pilar González, Pilar Távora, Mari García, Pepe Chamizo, Teresa Rodríguez y Antonio Maíllo estarán acompañados en #Sevilla por Pablo Iglesias y Alberto Garzón. ¡#AdelanteAndalucia que vamos a llenar el Palacio de Congresos y las urnas!</t>
  </si>
  <si>
    <t>https://pbs.twimg.com/media/DsjTxixWwAYv4iM.jpg</t>
  </si>
  <si>
    <t>ANDRÉS TUDELA Adelante Andalucía Marxista como Groucho. Aprendiz de todo. Maestro en nada. 15Mayista, Soy132, Bolivariano, Republicano y Agnóstico practicante</t>
  </si>
  <si>
    <t>Yo estaba tremendamente ilusionado con Pablo Iglesias y os juro que ha sido una gran decepción ver su evolución. Me acuerdo de hablaba de ir a los barrios, de recuperar la idea de España para la izquierda, de un proyecto de país... Nada, una copia cutre y desorganizada del PSOE</t>
  </si>
  <si>
    <t>P. Ibérica, zona de conflicto</t>
  </si>
  <si>
    <t>🎶🕊️✊🏻🌱🍙🥇 ♥️⭐️💜 Me llegan paquetes al nombre de Char Abra, Lenin me cae mal y reivindico que ser de izquierdas no es ser gilipollas.</t>
  </si>
  <si>
    <t>https://curiouscat.me/Charmander_ABRA</t>
  </si>
  <si>
    <t>Ciudadana del mundo</t>
  </si>
  <si>
    <t>ESTA MARAVILLA ES LO QUE QUIERE PABLO IGLESIAS PARA ESPAÑA Historia de un fracaso: tres meses del programa de recuperación de Maduro  vía @Gaceta_es</t>
  </si>
  <si>
    <t>https://gaceta.es/mundo/fracaso-programa-recuperacion-maduro-20181121-0946/</t>
  </si>
  <si>
    <t>NO ME GUSTA EL DESMADRE DE DESGOBIERNO QUE NOS HAN COLOCADO. ¡ELECCIONES YA!</t>
  </si>
  <si>
    <t>Exequiel Rodríguez 💚🧡</t>
  </si>
  <si>
    <t>Me sumo al populistómetro de moda (?). Me salió Pablo Iglesias, pero igual me veo lejos en el gráfico, estoy en el cuadro de not populist left 🤷‍♂️ De todas formas ya dije que soy #TeamÍñigo ✨</t>
  </si>
  <si>
    <t>https://pbs.twimg.com/media/DsjRkz7WoAM797p.jpg</t>
  </si>
  <si>
    <t>Rosario, Santa Fe, Argentina</t>
  </si>
  <si>
    <t>Politólogo. #GestiónPública, #Innovación, #GobiernoAbierto y otras yerbas. En @AdmPubUNR, @togiveproject y @polilabunr. Cuenta personal.</t>
  </si>
  <si>
    <t>https://pbs.twimg.com/media/DsjRhvRWsAEPjD6.jpg</t>
  </si>
  <si>
    <t>Islas Baleares, España</t>
  </si>
  <si>
    <t>Pablo Iglesias no es tan fiero como lo pintan, sólo es un niño Análisis fisiognómico 🔔 PRINCIPIO DE MEDIACIÓN, 🔊 Noticias,</t>
  </si>
  <si>
    <t>https://goo.gl/JCxFTR?ipk26=6064437537</t>
  </si>
  <si>
    <t>Jose Juan</t>
  </si>
  <si>
    <t>Podemos se instala en el desencanto: "A muchos círculos ya no viene casi nadie"</t>
  </si>
  <si>
    <t>redondela</t>
  </si>
  <si>
    <t>solo se que no se nada y cuanto mas se mas pienso que me queda mucho</t>
  </si>
  <si>
    <t>http://blogjjredondela.blogspot.com/</t>
  </si>
  <si>
    <t>Ayer tuve la oportunidad de ir a apoyar a los trabajadores de Airbus en huelga. Todo un ejemplo de valentía y solidaridad. Podéis apoyarles haciendo una aportación a su Caja de Resistencia: Cuenta 👉🏽 ES 34-3058-2252-0427-2000-3526 Concepto 👉🏽 Huelga ISS-Airbus</t>
  </si>
  <si>
    <t>https://pbs.twimg.com/media/DsjPW-_WwAEA42y.jpg</t>
  </si>
  <si>
    <t>Avelino Fernández</t>
  </si>
  <si>
    <t>Que pena ver a Pablo Iglesias defendiendo una banca pública para Caja Madrid y las otras cajas anuladas y expoliadas... Lo que hay que exigir es que Caja Madrid vuelva a ser una Banca social y autogestionaria con participación de depositantes, entidades y demás RT @Pablo_Iglesias_: El Gobierno del PP nacionalizó Bankia con el dinero de todos los españoles. ¿Qué sentido tiene privatizarla ahora que la hemos saneado? Lo sensato es que Bankia funcione como banca pública, al servicio de la ciudadanía. Así se lo he dicho a Pedro Sánchez en el Congreso 👇🏽</t>
  </si>
  <si>
    <t>Mallorca Spain</t>
  </si>
  <si>
    <t>#biencomún #economía #www #gobiernointernet #euro #cambio #decrecimiento #cultura #libertad @conpymeSpain #formación #emprendedor #rse #ValoresSolidarios</t>
  </si>
  <si>
    <t>http://goo.gl/Uor9D8</t>
  </si>
  <si>
    <t>¡ ANGEL !  📚 📖</t>
  </si>
  <si>
    <t>Cada vez que #Podemos tuitea una foto de Pablo Iglesias con el puño en alto, pierde 50.000 votantes (porque no todas las personas de izquierdas son comunistas) Igual que #Vox que cada vez que tuitea defendiendo las corridas de toros, pierde otros 50.000 votantes.</t>
  </si>
  <si>
    <t>(ESPAÑA) País bicontinental 🌍</t>
  </si>
  <si>
    <t>Decencia, honradez, honestidad, respeto, justicia social, buena gestión del dinero público ... ¡COÑO! ¿es mucho pedir?. Harto de mangantes, vividores y golfos ⚖</t>
  </si>
  <si>
    <t>República Catalana</t>
  </si>
  <si>
    <t>Sergio Ollés</t>
  </si>
  <si>
    <t>El estudio publicado por The Guardian es cuanto menos, llamativo. Tanto Pablo Iglesias como Bernie Sanders son considerados populismos de izquierdas, equivalentes en la derecha a Donald Trump o Mateo Salvini. A saber en qué se basarán para decidir esto. 🤷‍</t>
  </si>
  <si>
    <t>https://pbs.twimg.com/media/DsjJDGRXcAAtAK-.jpg</t>
  </si>
  <si>
    <t>Zaragoza, Spain</t>
  </si>
  <si>
    <t>📚 Marketing e Investigación de Mercados 🏑 Field Hockey player @honigvogel79</t>
  </si>
  <si>
    <t>http://Instagram.com/sergioolles</t>
  </si>
  <si>
    <t>Andy Warrol</t>
  </si>
  <si>
    <t>Soy menos populista que Pablo Iglesias pero por poco. Eso sí, algo más rojo.</t>
  </si>
  <si>
    <t>https://pbs.twimg.com/media/DsjJ4heXcAIBhkv.jpg</t>
  </si>
  <si>
    <t>El niño de la tiza, la vergüenza del flamenco. Pistolero sin pistolas. Abubilla de carril.</t>
  </si>
  <si>
    <t>http://andywarrol.tumblr.com/</t>
  </si>
  <si>
    <t>Daniel Siruela</t>
  </si>
  <si>
    <t>Nadie comenta el gesto de Pablo Iglesias cuando el pollaboba de rufián se va aplaudiendo?</t>
  </si>
  <si>
    <t>http://www.jikara.com</t>
  </si>
  <si>
    <t>David For 🇪🇸🇵🇹</t>
  </si>
  <si>
    <t>Los 'Clinton de Cádiz' no quieren saber de Pablo Iglesias  Compartido desde Discover</t>
  </si>
  <si>
    <t>BCN - Vigo</t>
  </si>
  <si>
    <t>Irene Adler</t>
  </si>
  <si>
    <t>Bueno, si al que más me parezco es Pablo Iglesias (en una versión algo más a la izquierda y menos populista) y al que menos es Donald Trump, es que algo estoy haciendo bien 😎</t>
  </si>
  <si>
    <t>https://pbs.twimg.com/media/DsjI_kqXgAAsDlL.jpg</t>
  </si>
  <si>
    <t>Unable to perceive the shape of you, I find you all around me. Your presence fills my eyes with your love. It humbles my heart, for you are everywhere.</t>
  </si>
  <si>
    <t>Eusantis</t>
  </si>
  <si>
    <t>Pero hoy, algunos, como Pablo Iglesias, creen que los enemigos son los que piensan como Ernest Lluch, y los amigos sus asesinos. RT @JosepBorrellF: Plantó cara al fanatismo, se jugó la vida por la #paz y dejó un magnífico legado humanista. Fue un infatigable defensor del respeto y la convivencia en #libertad. Se cumplen 18 años del asesinato por ETA de #ErnestLluch. Tenía 63 años y tres hijos. No le olvidaremos nunca.</t>
  </si>
  <si>
    <t>https://twitter.com/JosepBorrellF/status/1065308620898951174</t>
  </si>
  <si>
    <t>https://pbs.twimg.com/media/Dsi8iCRWoAQG7gp.jpg</t>
  </si>
  <si>
    <t>Marte</t>
  </si>
  <si>
    <t>Si se cumplen los planes de SpaceX, las naves humanas a Marte serán cohetes que aterricen verticalmente, tal como lo imaginó Ray Bradbury en Crónicas Marcianas.</t>
  </si>
  <si>
    <t>https://soundcloud.com/habitante-133</t>
  </si>
  <si>
    <t>Dice The Guardián que soy tan “populista” como Pablo Iglesias y Bernie Sanders | #Test #quiz | How populist are you?</t>
  </si>
  <si>
    <t>https://pbs.twimg.com/media/DsjHGQ2U0AIx9VE.jpg</t>
  </si>
  <si>
    <t>#Podemos</t>
  </si>
  <si>
    <t>Pablo Iglesias:”la bandera tricolor es el símbolo de los perdedores y no volverá a resurgir”</t>
  </si>
  <si>
    <t>Noticias sobre #Podemos, Pablo Iglesias y los #circulos. #UnidosPodemos Cuenta NO-Oficial</t>
  </si>
  <si>
    <t>💜 Labáibol Figueroa 💚</t>
  </si>
  <si>
    <t>Hice esta prueba  y ojo: lo peor es que Pablo Iglesias ni me cae bien.</t>
  </si>
  <si>
    <t>https://www.theguardian.com/world/ng-interactive/2018/nov/21/how-populist-are-you-quiz?CMP=Share_AndroidApp_Tweet</t>
  </si>
  <si>
    <t>https://pbs.twimg.com/media/DsjE-QSU4AAXWUn.png</t>
  </si>
  <si>
    <t>Orbajosa</t>
  </si>
  <si>
    <t>Todo lo que me gusta es caro, engorda o no me contesta.</t>
  </si>
  <si>
    <t>Xavier Horcajo</t>
  </si>
  <si>
    <t>Si se adelantan las elecciones Pablo Iglesias tiene un problema. El «condukator». llegó a decir: “la gente está harta de la imagen que estamos dando”.</t>
  </si>
  <si>
    <t>https://pbs.twimg.com/media/DsjEAu3WoAEqZsY.jpg</t>
  </si>
  <si>
    <t>Periodista y consultor estratégico</t>
  </si>
  <si>
    <t>Nono Jerez</t>
  </si>
  <si>
    <t>A #escupitajo s deberíamos de haber echado al PSOE cuando decidió vender las empresas públicas a la oliarquia. Y hoy veo a Pablo Iglesias explicando a Sánchez lo positivo que es tener banca pública. Sánchez tragando saliva. Tratar con PSOE le hará daño a podemos,y mucho.</t>
  </si>
  <si>
    <t>a la espera del nuevo año para ver qué cohones pongo aquí.</t>
  </si>
  <si>
    <t>Pablo Iglesias descubre cómo lograr la independencia de Cataluña, sin reformar la Constitución 🔉 VOLUNTARISMO REPUBLICANO, 🔗 LA SOCIEDAD CIVIL,</t>
  </si>
  <si>
    <t>https://goo.gl/zW39XB?jbc87=1930991850</t>
  </si>
  <si>
    <t>Dadorelguapo</t>
  </si>
  <si>
    <t>Por lo visto, Pablo Iglesias le propuso al Dr. Fraude q los 22.000 mill de euros q nos costó rescatar a algunas de las Cajas Públicas, los utilizase para seguir teniendo Cajas públicas para así poder seguir robando y q las tengamos q rescatar ot vez, en el futuro, los de siempre RT @pnique: A lo mejor, entre los gritos de "fascistas" y "golpistas" y el escupitajo fantasma a Borrell, se les olvida contarte que @Pablo_Iglesias_ ha propuesto a @sanchezcastejon que los 22.000 millones que nos costó Bankia sirvan para tener una banca pública como en Alemania u Holanda.</t>
  </si>
  <si>
    <t>Raspamos un poco y a ver qué sale</t>
  </si>
  <si>
    <t>Pablo Iglesias luchando por sacar los presupuestos adelante. Susana Díaz pidiendo más 155 en Catalunya y Borrell aplaudido por PP y Ciudadanos Foro Asturias y UPN...... ¡Cuanta gilipollez!</t>
  </si>
  <si>
    <t>Txomin Alvarez</t>
  </si>
  <si>
    <t>En @elconfidencial: Podemos se instala en el desencanto: "A muchos círculos ya no viene casi nadie"</t>
  </si>
  <si>
    <t>SUMI.B</t>
  </si>
  <si>
    <t>El amor se descubre a través de la practica de amar y no de las palabras</t>
  </si>
  <si>
    <t>José María G.</t>
  </si>
  <si>
    <t>Cómo hay que estar de la cabeza para no querer que suba el SMI pq beneficia a Pablo Iglesias por lo de autoimponerse dos veces el SMI...</t>
  </si>
  <si>
    <t>https://www.eldigitalcastillalamancha.es/entrevistas/929787664/Quiero-gobernar-sin-pactos-pero-Ciudadanos-no-me-repele-lo-mas-minimo.html</t>
  </si>
  <si>
    <t>Para ironía, la de mi padre http://chemagister.blogspot.com</t>
  </si>
  <si>
    <t>Sofía😶</t>
  </si>
  <si>
    <t>"No puede ser que la banca controle a los jueces""No puede ser que la banca esté por encima de la democracia" Pablo Iglesias. México, te hablan RT @Pablo_Iglesias_: La banca solo se sale con la suya si hay políticos y jueces que se lo permiten. No se trata de un fenómeno meteorológico. Podemos no tiene deudas con la banca, y por eso nunca podrán presionarnos para tratar de colocarse por encima de la democracia.</t>
  </si>
  <si>
    <t>https://twitter.com/Pablo_Iglesias_/status/1061577868193472512</t>
  </si>
  <si>
    <t>https://pbs.twimg.com/media/DrrR2MMX0AA1JGk.jpg</t>
  </si>
  <si>
    <t>Tina Modotti (fotos, Edward Weston)</t>
  </si>
  <si>
    <t>alguien sabe donde está Pablo Iglesias??? fue fracasar su intento d apuntarse el tanto d los presupuestos generales y ha vuelto a desaparecer del mapa... #EleccionesYa</t>
  </si>
  <si>
    <t>📺 La semana pasada Pablo Iglesias entrevistó a Carlos Prieto en Otra Vuelta de Tuerka. 🙋🏻‍♀️ Este viernes nos acompañará la periodista y escritora Cristina Fallarás.</t>
  </si>
  <si>
    <t>https://www.youtube.com/watch?v=W8Psn3-0Pu8</t>
  </si>
  <si>
    <t>Luis Castilla</t>
  </si>
  <si>
    <t>La formación de Pablo Iglesias se encuentra con el agua al cuello, viven en una grave crisis territorial, las encuestas son desalentadoras y su discurso ha estado plagado de incoherencias en los últimos meses que se volveran en contra de la formación comunista en las urnas.</t>
  </si>
  <si>
    <t>https://pbs.twimg.com/media/Dsi6MLPXcAEk6NR.jpg</t>
  </si>
  <si>
    <t>Economista Liberal, demócrata y patriota. Jubilado de banca, me dedico al cuidado de mis rosas, que aprendí en Inglaterra.</t>
  </si>
  <si>
    <t>Plaza Podemos</t>
  </si>
  <si>
    <t>[Esta semana] A lo mejor, entre los gritos de "fascistas" y "golpistas" y el escupitajo fantasma a Borrell, se les olvida contarte que Pablo Iglesias ha propuesto a Sanchez Castejón que los 22.000 millones que nos costó Bankia sirvan para tener una banca…</t>
  </si>
  <si>
    <t>http://dlvr.it/QrnZtk</t>
  </si>
  <si>
    <t>https://pbs.twimg.com/media/Dsi45cUUcAALNLf.jpg</t>
  </si>
  <si>
    <t>Cuenta oficial de Plaza Podemos del @EQParticipacion. Traemos las novedades, noticias e hilos del momento de Plaza Podemos y Plaza Podemos 2.0</t>
  </si>
  <si>
    <t>http://plaza.podemos.info</t>
  </si>
  <si>
    <t>PABLO IGLESIAS legitima a FELIPE VI 🔉 LOS ELECTORES NO ELIGEN, ➡️ de la sociedad civil,</t>
  </si>
  <si>
    <t>https://goo.gl/DUjuCr?kbj64=1697983278</t>
  </si>
  <si>
    <t>SrEpicFire</t>
  </si>
  <si>
    <t>#VotaTuLista2019 para que votar si ya se sabe que van a salir los favoritos de pablo iglesias en todas las listas</t>
  </si>
  <si>
    <t>Mogo - Sector 2814</t>
  </si>
  <si>
    <t>Doctorando en la Universidad de la Vida y Máster del Universo. http://www.instant-gaming.com/igr/Edd28/ - http://www.twitch.tv/glepicfire</t>
  </si>
  <si>
    <t>http://www.instant-gaming.com/igr/Edd28/</t>
  </si>
  <si>
    <t>Victoria fuentes</t>
  </si>
  <si>
    <t>Los 'Clinton de Cádiz' no quieren saber de Pablo Iglesias</t>
  </si>
  <si>
    <t>http://dlvr.it/QrnScw</t>
  </si>
  <si>
    <t>https://pbs.twimg.com/media/DsiyCGSU4AA4JGx.jpg</t>
  </si>
  <si>
    <t>Desde mi apartamento en Madrid, redacto un pequeño y atípico #cursodeinglés</t>
  </si>
  <si>
    <t>https://lavidaeningles.wordpress.com/</t>
  </si>
  <si>
    <t>El viernes (18h) podréis ver mi entrevista a la periodista y escritora @LaFallaras en Otra Vuelta de Tuerka. Fue una charla intensa sobre política, feminismo, periodismo y más que no dejará a nadie indiferente. Un adelanto 👇🏽</t>
  </si>
  <si>
    <t>https://pbs.twimg.com/media/DsiY1BXXoAAelVp.jpg</t>
  </si>
  <si>
    <t>Gimnasia dialéctica entre Sánchez y Rivera Imitadores de Pablo Iglesias La Sátira de Chesterton 🔈 ESPIRITU REPUBLICANO, 🌎 JORNADA DE REFLEXIÓN,</t>
  </si>
  <si>
    <t>https://goo.gl/E5by4K?mra22=5527422234</t>
  </si>
  <si>
    <t>Pablo Iglesias y Cayo Lara La enfermedad infantil y senil del comunismo 📣 los gobernados deben elegir, ⚠️ OPINIÓN PÚBLICA,</t>
  </si>
  <si>
    <t>https://goo.gl/G17Y8c?btp59=5558367305</t>
  </si>
  <si>
    <t>Derecho Mercantil España</t>
  </si>
  <si>
    <t>Lean, prueba nº 353543 que Pablo Iglesias NUNCA, NUNCA dice nada relacionado con la Economía que sea correcto o verdad. Nunca. RT @miquelroig: Hoy, en otro episodio de #EsQueTeTienesQuéReír, @Pablo_Iglesias_ pide una banca públia (y que no se privatice Bankia) diciendo que en el test de estrés de la EBA 2018 los dos bancos con mejor nota son públicos. Por supuesto, esto es una media verdad o milonga, como prefieran 👇</t>
  </si>
  <si>
    <t>https://twitter.com/miquelroig/status/1065176468827852801</t>
  </si>
  <si>
    <t>"I have upon the whole been much less abused that I had reason to expect" Adam Smith</t>
  </si>
  <si>
    <t>🇪🇸El Nórdico🇸🇪</t>
  </si>
  <si>
    <t>Quiero una hipoteca con las condiciones que le dió el banco a Pablo Iglesias RT @ahorapodemos: Los partidos políticos que financian sus campañas electorales gracias a los bancos, votan en contra de nuestra ley de impuesto a la banca. ¿Por qué será? 🤔</t>
  </si>
  <si>
    <t>En El Frío. Kattegat.</t>
  </si>
  <si>
    <t>Blanco y salvajemente caliente.</t>
  </si>
  <si>
    <t>Nacho Escartín</t>
  </si>
  <si>
    <t>Pablo Iglesias y Enric Juliana presentan su libro "Nudo España" el lunes en #Zaragoza. Seguro que será un debate interesante. Allí estaremos</t>
  </si>
  <si>
    <t>Nuez de Ebro, Zaragoza, Aragón</t>
  </si>
  <si>
    <t>Coordinador de Podemos en Aragón. Padre, agricultor en barbecho, alegre enredador y diputadico en las Cortes de Aragón. Tiendo puentes. ¡Salud, amor y rebeldía!</t>
  </si>
  <si>
    <t>https://nachoescartin.wordpress.com</t>
  </si>
  <si>
    <t>Esta es la "libertad de expresion" que defiende el Chepa Morada.</t>
  </si>
  <si>
    <t>https://okdiario.com/espana/2018/11/12/asi-miente-pablo-iglesias-cuando-juez-llama-puta-irene-montero-monta-escandalo-3336480#.W_WLiipz1VM.facebook</t>
  </si>
  <si>
    <t>Miguel Angel Armada</t>
  </si>
  <si>
    <t>LA SEXTA TV | Pablo Iglesias: "El Gobierno se habría podido currar más que salgan los PGE, no podemos hacerlo todo"</t>
  </si>
  <si>
    <t>Hasta el domingo 25 a las 23:59 las y los inscritos podéis elegir a vuestros candidatos de @ahorapodemos para las elecciones europeas, autonómicas, forales, insulares y municipales (primera tanda). Participa aquí:  En Podemos decides tú. #VotaTuLista2019</t>
  </si>
  <si>
    <t>https://pbs.twimg.com/media/DsihHnkXQAAzOdi.jpg</t>
  </si>
  <si>
    <t>INMA GC</t>
  </si>
  <si>
    <t>Los'Clinton de Cádiz'no quieren saber de Pablo Iglesias.Lo peor q te puede pasar es ser repudiado por los tuyos y eso mismo es lo q le está pasando a Iglesias.El egocentrismo y la soberbia son malos aliados y él tiene d los 2 a manos llenas  vía @elmundoes</t>
  </si>
  <si>
    <t>Apasionada en lo que hago y fiel a mi gente. Madrileña, española, europea y ciudadana del mundo y por supuesto.........del Atlético de Madrid 🇪🇸🍊🍊🍊🇪🇸</t>
  </si>
  <si>
    <t>Emilio RL</t>
  </si>
  <si>
    <t>http://dlvr.it/Qrn9Nw</t>
  </si>
  <si>
    <t>https://pbs.twimg.com/media/Dsih_81VAAANcsi.jpg</t>
  </si>
  <si>
    <t>N 37°20' 0'' / W 5°55' 0''</t>
  </si>
  <si>
    <t>Informático Freelance #Sevilla #DiseñoWeb #Wordpress #SEO #Google Emprendedor empedernido. http://Indents.com</t>
  </si>
  <si>
    <t>https://indenets.com</t>
  </si>
  <si>
    <t>El bot del sudor</t>
  </si>
  <si>
    <t>Que tiene que ofender Pablo Iglesias:</t>
  </si>
  <si>
    <t>Cuentas de los guardianes del sudor: @MiguiTR y @pastegoats</t>
  </si>
  <si>
    <t>†R3AL$3DA0†</t>
  </si>
  <si>
    <t>Si el rey fuera dj Y rajoy bailara break Pablo Iglesias iría por orcasitas en el skate</t>
  </si>
  <si>
    <t>GZ - MKS</t>
  </si>
  <si>
    <t>Old School Twitter// Rap neopunkie psicodelico alternativo</t>
  </si>
  <si>
    <t>Francisco Gago Nieto</t>
  </si>
  <si>
    <t>Seguimos... 💜 BANCA PUBLICA Pablo Iglesias le da una lección magistral a Pedro Sánchez sobre las ventajas competitivas que tendríamos a través de la creación de una banca pública. Comparte. ⤵️⏬⤵️</t>
  </si>
  <si>
    <t>https://www.facebook.com/francisco.gagonieto.9/posts/2232442963455470</t>
  </si>
  <si>
    <t>El Coronil</t>
  </si>
  <si>
    <t>https://www.facebook.com/francisco.gagonieto.9</t>
  </si>
  <si>
    <t>Agradecer de corazón a la @CPU_Police por actuar como debe de ser contra los extremistas en el acto de @vox_es . También decirle al que lleva la pagina de @CPU_Police que no se burlarian los de VOX si no hubieran ido a tocar las pelotas los cachorros de Pablo Iglesias. Gracias.</t>
  </si>
  <si>
    <t>José León 🇪🇦</t>
  </si>
  <si>
    <t>#VotaTuLista2019 Fuera Pablo Iglesias Fuera Pablo Echenique Fuera Íñigo Errejón Fuera Ramón Espinar ¡Fuera todos! Ya he votado 😎</t>
  </si>
  <si>
    <t>Leganés, Madrid, España</t>
  </si>
  <si>
    <t>Nada se parece tanto a la injusticia como la justicia tardía (Séneca) No me rindo (Fer Altuna) #SiempreConLasVíctimas #YosoyCOVITE Atlético forever</t>
  </si>
  <si>
    <t>http://mapadelterror.com/</t>
  </si>
  <si>
    <t>Carlos Paramio 🇪🇸</t>
  </si>
  <si>
    <t>Comienza la #CumbreHispanoLusa en #Valladolid un nuevo “desvarío” internacional para el Doctor Sánchez y otro fracaso más para los españoles y la moción frankenstein junto a Pablo Iglesias, Torra, Puigdemont y Otegui</t>
  </si>
  <si>
    <t>https://pbs.twimg.com/media/Dsifwc1X4AAQX8s.jpg</t>
  </si>
  <si>
    <t>Valladolid - Castilla y León</t>
  </si>
  <si>
    <t>De pueblo. Orgulloso de ser de #CyL. 100% Positivo, RRPP, Atleta Popular #Política #Turismo #Cultura y todo lo bueno que pasa en #Valladolid #CyL #España 🇪🇸</t>
  </si>
  <si>
    <t>La alianza de Pedro y Pablo se resquebraja: "Los viajes están muy bien pero el Gobierno se tendría que haber esforzado más con los presupuestos"  vía @Periodistadigit</t>
  </si>
  <si>
    <t>https://www.periodistadigital.com/periodismo/tv/2018/11/20/pedro-sanchez-pablo-iglesias-presupuestos-elecciones-ferreras-gobierno.shtml</t>
  </si>
  <si>
    <t>Florentina Vilanova🎗⚘🎗🎗🎗🎗</t>
  </si>
  <si>
    <t>Pues SÍ, pero lo triste es que Pablo Iglesias ha hecho el ridículo defendiéndolos y colaborando para echar la culpa a los Catalanes. Pero así son PSOE, IRRESPONSABLES, prometiendo lo que saben NO VAN A CUMPLIR y MAQUIAVÉLICOS, intentando culpar a otros. 🎗🎗🎗🎗🎗 RT @sninobecerra: Lo comentamos: el posible motivo por el que el Gobierno no hace nada para aprobar los presupuestos:</t>
  </si>
  <si>
    <t>https://twitter.com/sninobecerra/status/1065146429742743552
https://elpais.com/economia/2018/11/20/actualidad/1542745541_111846.html</t>
  </si>
  <si>
    <t>Formentera y Avinyonet de Puig</t>
  </si>
  <si>
    <t>Madre , abuela y suegra</t>
  </si>
  <si>
    <t>http://www.bubok.es/libros/238762/LUCIA-Y-SU-SEXTO-SENTIDO-POLITICO</t>
  </si>
  <si>
    <t>Pablo Iglesias no quiere que las Mezquitas paguen el IBI, para no.ofender a los musulmanes. Pablo Mezquitas siempre metiendo la pata.</t>
  </si>
  <si>
    <t>En Nuestra Plaza: Pablo Iglesias: "¿Qué planes tiene el Gobierno para Bankia?" Hoy en el Congreso. Pedro bla, bla, bla... Pablo presidente.</t>
  </si>
  <si>
    <t>https://ift.tt/2FzT0Ik</t>
  </si>
  <si>
    <t>Faustino Vega Jaen</t>
  </si>
  <si>
    <t>Pedir al PP que condene a Franco, es comp pedirle al PSOE que condene a Pablo Iglesias Pose</t>
  </si>
  <si>
    <t>Natural de Aranjuez. Indignado, como tantos millones de españoles.Ni de los de arriba, ni de los de abajo; de izquierdas y de Sabina.</t>
  </si>
  <si>
    <t>María Grazia Reinoso</t>
  </si>
  <si>
    <t>Según el quiz “How populist are you?”, soy: Muy similar a Emmanuel Macron Muy poco similar a Pablo Iglesias RT @guardian: How populist are you?</t>
  </si>
  <si>
    <t>https://twitter.com/guardian/status/1065254815448608768
https://trib.al/ibaBnKy</t>
  </si>
  <si>
    <t>Guayaquil - Pamplona</t>
  </si>
  <si>
    <t>Más errores que persona. Periodista en proceso @fcomunav</t>
  </si>
  <si>
    <t>Quique Hervés</t>
  </si>
  <si>
    <t>Seica son un populista de esquerdas, próximo a Pablo Iglesias e Bernie Sanders. Claro que Macron e Obama son exemplos de esquerda non populista. Buff!</t>
  </si>
  <si>
    <t>https://gu.com/p/9qt5q?CMP=share_btn_tw</t>
  </si>
  <si>
    <t>Galicia</t>
  </si>
  <si>
    <t>Profesor de Xeografía e Historia máis toleado que tolo polas TIC e a 2.0 (3.0 xa?) que tenta, sen conseguilo, estar algo ó día</t>
  </si>
  <si>
    <t>http://clioblogue.blogspot.com.es</t>
  </si>
  <si>
    <t>Nietzsbender</t>
  </si>
  <si>
    <t>Llegamos a condenar e ilegalizar el comunismo y el "populismo" en España y estos putos fachas se sacarían otra memez de la manga para no condenar el franquismo. Mientras tanto, en el chalet de Pablo Iglesias....</t>
  </si>
  <si>
    <t>¿De qué quiere la prensa que hablemos hoy?</t>
  </si>
  <si>
    <t>ℰli[$♤] 🇪🇸</t>
  </si>
  <si>
    <t>Pablo Iglesias LOL RT @jenningsjaxfl: Here are my results. Try for yourself:</t>
  </si>
  <si>
    <t>https://twitter.com/jenningsjaxfl/status/1065267702556692480
https://www.theguardian.com/world/ng-interactive/2018/nov/21/how-populist-are-you-quiz</t>
  </si>
  <si>
    <t>https://pbs.twimg.com/media/DsiXUYeXcAAKtAl.jpg</t>
  </si>
  <si>
    <t>Espanna</t>
  </si>
  <si>
    <t>Bióloga. Hago hilos de libros. Anti-CCAA y antiposmodernidad. CAR-CA. Fan de María Elvira Roca Barea. #Somosguaposylistosynofallalabanderita</t>
  </si>
  <si>
    <t>IU Morón</t>
  </si>
  <si>
    <t>#AdelanteMorón 🔊🔊 VENTE EN AUTOBÚS AL ACTO CENTRAL DE CAMPAÑA DE ADELANTE ANDALUCÍA 📆 Sábado 24 de Noviembre ⌚ 9:00 H 🚃 Estación de Autobuses Con la intervención de Antonio Maíllo, Teresa Rodríguez, Alberto Garzón y Pablo Iglesias. ¡¡¡¡RESERVA TU PLAZA!!!!</t>
  </si>
  <si>
    <t>https://pbs.twimg.com/media/DsiX1y8WkAAF9ad.jpg</t>
  </si>
  <si>
    <t>Cuenta oficial de Izquierda Unida Morón de la Frontera.</t>
  </si>
  <si>
    <t>IVÁNツ</t>
  </si>
  <si>
    <t>Pablo Iglesias está mutando en Twitter en Pablo sobrado. La próxima vez mandaré un saludo a ambos.</t>
  </si>
  <si>
    <t>Arahal(Sevilla)</t>
  </si>
  <si>
    <t>PERIODISMO</t>
  </si>
  <si>
    <t>Adela Cañas Fermín</t>
  </si>
  <si>
    <t>https://ift.tt/2DRc9DX</t>
  </si>
  <si>
    <t>En las nubes</t>
  </si>
  <si>
    <t>No hay alivio más grande que comenzar a ser lo que se es</t>
  </si>
  <si>
    <t>Abalo Delgado</t>
  </si>
  <si>
    <t>Pablo Iglesias no dirá nada de esta cacería RT @libertaddigital: Una tribu de de aborigenes que siguen viviendo en el paleolítico mata a un turista estadounidense en una remota isla del pacífico</t>
  </si>
  <si>
    <t>https://twitter.com/libertaddigital/status/1065261826105999367
http://dlvr.it/Qrms5M</t>
  </si>
  <si>
    <t>Titulares 24 horas</t>
  </si>
  <si>
    <t>laSextaNoche</t>
  </si>
  <si>
    <t>Noticias las 24 horas del dia</t>
  </si>
  <si>
    <t>Twitter oficial de laSexta noche. Cada sábado, a las 21:20h, con @_InakiLopez_ y @andrearopero. Entenderás lo que sucede durante la semana en una sola noche.</t>
  </si>
  <si>
    <t>http://www.lasexta.com/programas/sexta-noche/</t>
  </si>
  <si>
    <t>Leo</t>
  </si>
  <si>
    <t>Quedé a la izquierda de Pablo Iglesias. 😁 RT @berlich: Quedé a la izquierda de Obama.</t>
  </si>
  <si>
    <t>https://twitter.com/berlich/status/1065257874195181574
https://www.theguardian.com/world/ng-interactive/2018/nov/21/how-populist-are-you-quiz</t>
  </si>
  <si>
    <t>https://pbs.twimg.com/media/DsiOYPTW0AEhn7V.jpg</t>
  </si>
  <si>
    <t>A Coruña</t>
  </si>
  <si>
    <t>Banfield, Buenos Aires</t>
  </si>
  <si>
    <t>22 años. Del conurbano sur e hincha de Boca. Otro mundo es posible.</t>
  </si>
  <si>
    <t>Prácticas como estas es las que pretende aplicar en España Pablo Iglesias, imponer el miedo para atemorizar y encarcelar al disidente. Las checas son su modelo a seguir. RT @TorresAren: EN #200AñosRepúblicaDeVenezuela NUNCA Se habían visto estás atrocidades como las que hace la GUARDIA NAZI-ONAL del DICTADOR NICOLÁS MADURO En el ESTADO FALCÓN VENEZUELA A los opositores alREGIMEN Y la comunidad internacional🤐 #21Nov #22Nov #FelizMiercoles</t>
  </si>
  <si>
    <t>Carmen Rojo</t>
  </si>
  <si>
    <t>"No pagan". Pablo Iglesias presenta la Prop. para que la banca pague imp...  vía @YouTube</t>
  </si>
  <si>
    <t>como se come una ballena... despacito y entre todos ;))</t>
  </si>
  <si>
    <t>SoyUnaRumbera</t>
  </si>
  <si>
    <t>Pablo Iglesias es hijo de Julio Iglesias Conspiracy Theory Thread:</t>
  </si>
  <si>
    <t>Scranton, PA</t>
  </si>
  <si>
    <t>Twitteo fotos al azar</t>
  </si>
  <si>
    <t>Ignacio E.</t>
  </si>
  <si>
    <t>Salí cercano a Pablo Iglesias. Pero me parece un poco ridículo que por denunciar que los gobiernos están manejados por unas pocas corporaciones e intereses privados se nos tilde de populistas. RT @jose_maritano: ¿Qué tan populista eres? tragicómico quiz del The @guardian</t>
  </si>
  <si>
    <t>https://twitter.com/jose_maritano/status/1065233559101804544
https://gu.com/p/9qt5q?CMP=share_btn_fb</t>
  </si>
  <si>
    <t>Estudiante de Derecho, Universidad de Chile. Militante de @RDemocratica. Hincha de Independiente de Avellaneda❤</t>
  </si>
  <si>
    <t>catymu</t>
  </si>
  <si>
    <t>Cristóbal</t>
  </si>
  <si>
    <t>A las 4 de la tarde tienes a Jazztel al teléfono y en la otra línea a Pablo Iglesias RT @Outconsumer: Estamos poco asustados... Xn</t>
  </si>
  <si>
    <t>https://twitter.com/Outconsumer/status/1065152983292366854
https://www.eldiario.es/tecnologia/practicas-partidos-Espana-aprobacion-electoral_0_837816546.html</t>
  </si>
  <si>
    <t>Pochinki</t>
  </si>
  <si>
    <t>Pues eso</t>
  </si>
  <si>
    <t>[Esta semana] Pablo iglesias."La memoria histórica es la gasolina del futuro"</t>
  </si>
  <si>
    <t>http://dlvr.it/Qrmmf7</t>
  </si>
  <si>
    <t>Manuel cavada</t>
  </si>
  <si>
    <t>Y DONDE DEJAN A LA GENTUZA DEL UNIDOS PODEMOS SON LA MISMA DAMIAN!!! EL PRIMERO @Pablo_Iglesias_SEGUIDO POR MONEDERO ERREJON Y C.O. RT @perezreverte: ¿Alguien creyó que sentar a cierta gentuza en el Congreso iba a salirnos gratis?... Entre todos los hemos creado y los hemos votado, así que ahora toca disfrutarlos.</t>
  </si>
  <si>
    <t>https://twitter.com/perezreverte/status/1065181684361043968
https://www.elmundo.es/espana/2018/11/21/5bf51cfa268e3e01268b45c6.html</t>
  </si>
  <si>
    <t>Víctor C. Bustillo ن</t>
  </si>
  <si>
    <t>Que no suelo estar de acuerdo con Pablo Iglesias (ni con ningún político, sea del bando que sea, me dan igual las izquierdas y las derechas). Pero hay que atajar todo el tema de las casas de apuestas, ludopatía y demás cosas que están haciendo daño a mucha gente RT @Pablo_Iglesias_: Seguimos trabajando para atajar el auge de las casas de apuestas y la ludopatía. Hoy @VeraNoelia reclamaba medidas al Gobierno en el Congreso, y hace unos días se hizo también ante la Junta de Extremadura.</t>
  </si>
  <si>
    <t>https://twitter.com/Pablo_Iglesias_/status/1065255588316307461
https://www.elsaltodiario.com/sector-del-juego/podemos-extremadura-denuncia-vulneracion-normativa-casas-apuestas-</t>
  </si>
  <si>
    <t>https://pbs.twimg.com/media/DsiKzZUWoAAGGvo.jpg</t>
  </si>
  <si>
    <t>Imperio Romano</t>
  </si>
  <si>
    <t>Historiador, pensador cristiano y escritor. Romano. Aprendiz estoico, y guerrero pacífico. Carácter Milenario. Crónica de un Cantar Hispano mi 1ª libro.</t>
  </si>
  <si>
    <t>http://www.luzdeuncandil.blogspot.com</t>
  </si>
  <si>
    <t>quiquellanas</t>
  </si>
  <si>
    <t>Afortunadamente Bruselas no deja a Pedro Sanchez y Pablo Iglesias hacer de España una Venezuela  vía @elmundoes</t>
  </si>
  <si>
    <t>Para todo el que busca a un Dr Jekyll .. Os equivocáis de cuenta. V.E.R.D.E💚 CHILDHOOD CANCER AWARENESS 🎗🎗🎗</t>
  </si>
  <si>
    <t>Seguimos trabajando para atajar el auge de las casas de apuestas y la ludopatía. Hoy @VeraNoelia reclamaba medidas al Gobierno en el Congreso, y hace unos días se hizo también ante la Junta de Extremadura.</t>
  </si>
  <si>
    <t>https://www.elsaltodiario.com/sector-del-juego/podemos-extremadura-denuncia-vulneracion-normativa-casas-apuestas-</t>
  </si>
  <si>
    <t>amurga1</t>
  </si>
  <si>
    <t>Pablo Iglesias brillante en el Congreso.</t>
  </si>
  <si>
    <t>PoderopediaVenezuela</t>
  </si>
  <si>
    <t>Pablo Iglesias, el secretario general de Podemos que sí recibió 272.325 dólares del gobierno venezolano.</t>
  </si>
  <si>
    <t>http://bit.ly/2mttbgH</t>
  </si>
  <si>
    <t>https://pbs.twimg.com/media/DsiL61XXgAA4D9V.jpg</t>
  </si>
  <si>
    <t>Consigue aquí los perfiles de los más poderosos de la política y los negocios</t>
  </si>
  <si>
    <t>http://www.poderopedia.org</t>
  </si>
  <si>
    <t>Crónica Global</t>
  </si>
  <si>
    <t>El gozo en un pozo de Pablo Iglesias. Pedro Sánchez le dice que Bankia se privatizará en cuanto se pueda, y dejará de ser pública</t>
  </si>
  <si>
    <t>https://cronicaglobal.elespanol.com/business/sanchez-a-iglesias-bankia-no-sera-publica_201157_102.html</t>
  </si>
  <si>
    <t>Medio digital con una concepción crítica del periodismo. Apuntamos en la buena dirección.</t>
  </si>
  <si>
    <t>http://www.cronicaglobal.com</t>
  </si>
  <si>
    <t>AticaEmporda</t>
  </si>
  <si>
    <t>Me ha gustado un vídeo de @YouTube ( - Otra Vuelta de Tuerka - Pablo Iglesias con César Rendueles (programa</t>
  </si>
  <si>
    <t>http://youtu.be/ztDk7V5XDiw?a</t>
  </si>
  <si>
    <t>Empordà, Girona</t>
  </si>
  <si>
    <t>Àtica Empordà, Art, Cultura, Territori, Paisatge, Gastronomia</t>
  </si>
  <si>
    <t>http://www.aticaemporda.com</t>
  </si>
  <si>
    <t>josefa maria</t>
  </si>
  <si>
    <t>Pablo Iglesias en el Congreso, pide que los bancos paguen impuestos  vía @YouTube</t>
  </si>
  <si>
    <t>https://youtu.be/nHodn42YiJw</t>
  </si>
  <si>
    <t>Asturias, Principado de Asturi</t>
  </si>
  <si>
    <t>incognita</t>
  </si>
  <si>
    <t>Almirante 𝔅𝔩𝔞𝔰 𝔡𝔢 𝔏𝔢𝔷𝔬 🇪🇸</t>
  </si>
  <si>
    <t>¡¡¡ Gracias por esas 3 comidas Errejón @ierrejon !!! Yo creo que si entras en Venezuela de nuevo, no sales vivo, cucaracha. Ni tú ni la inmundicia de Pablo Iglesias, ni su consorte actual, ni ninguno de los borrachos e incompetentes que os acompañaron en todo el daño a Venezuela RT @TorresAren: #EstudiantesDeLaPatria ABANDONADOS QUE TRISTEZA! los niños de Venezuela están en este abandono sin alimentos sin techo sin abrigo sin salud sin educación y el NARCO ESTADO d MADURO insiste en decir q en VENEZUELA nadie está pasando HAMBRE #22nov #23Nov</t>
  </si>
  <si>
    <t>https://twitter.com/TorresAren/status/1065232572089802752</t>
  </si>
  <si>
    <t>pic.twitter.com/r8h3bPv983</t>
  </si>
  <si>
    <t>"Dile a mis hijos que morí como un buen vasco defendiendo la integridad de España y del Imperio" #BlasdeLezo #Tabarnia #YoSoyLlarena #JUSAPOL</t>
  </si>
  <si>
    <t>http://tabarnia.es</t>
  </si>
  <si>
    <t>maria isabel boto</t>
  </si>
  <si>
    <t>Pablo Iglesias.</t>
  </si>
  <si>
    <t>https://pbs.twimg.com/media/DsiJyvMWkAAuaWv.jpg</t>
  </si>
  <si>
    <t>Admiro: La justicia.</t>
  </si>
  <si>
    <t>borealis ي ن</t>
  </si>
  <si>
    <t>Los 'Clinton de Cádiz' no quieren saber de Pablo Iglesias  vía @elmundoes</t>
  </si>
  <si>
    <t>iag.</t>
  </si>
  <si>
    <t>Iiiiiish parézome a Pablo Iglesias</t>
  </si>
  <si>
    <t>https://pbs.twimg.com/media/DsiJMfEWsAUP-Li.jpg</t>
  </si>
  <si>
    <t>Madrid • Galiza</t>
  </si>
  <si>
    <t>o que temos que facer pra non ter que ir ao mar</t>
  </si>
  <si>
    <t>S Villano</t>
  </si>
  <si>
    <t>Me ha gustado un vídeo de @YouTube ( - Pablo Iglesias en el Congreso, pide que los bancos paguen impuestos).</t>
  </si>
  <si>
    <t>http://youtu.be/nHodn42YiJw?a</t>
  </si>
  <si>
    <t>El Villano de la Alameda is back!!!</t>
  </si>
  <si>
    <t>luci</t>
  </si>
  <si>
    <t>Que mal me siento cuando llevo camisetas de cuadros y coleta baja, me siento Pablo Iglesias.</t>
  </si>
  <si>
    <t>Melómana y un poco bohemia. Pasión por el cine y el arte. La tristeza durará para siempre.</t>
  </si>
  <si>
    <t>¯\_(ツ)_/¯</t>
  </si>
  <si>
    <t>-PP y Cs con Vox: nosotros no etiquetamos a partidos. -Also PP y Cs con Podemos: son unos populistas, comunistas, etarras, yihadistas y Pablo Iglesias no se ducha. ¯\_(ツ)_/¯</t>
  </si>
  <si>
    <t>Mila</t>
  </si>
  <si>
    <t>Pablo Iglesias: "Nuestro país está ocho puntos por debajo de la media de...  vía @YouTube</t>
  </si>
  <si>
    <t>FR+++FERMIN TEMPLARIO</t>
  </si>
  <si>
    <t>Que no te engañen más... Pablo Iglesias, Podemos y su financiación. Al Loro! Que no te engañen. Dentro Vídeo  RT @_A_Zero: #DíaMundialdelaTelevisión Pablo Iglesias, Podemos y su financiación. Al Loro! Que no te engañen. Dentro Vídeo👇</t>
  </si>
  <si>
    <t>https://twitter.com/i/status/1065199456491053056</t>
  </si>
  <si>
    <t>pic.twitter.com/PbrDJpmNb7</t>
  </si>
  <si>
    <t>Alpedrete, España</t>
  </si>
  <si>
    <t>http://www.cdtonline.es</t>
  </si>
  <si>
    <t>Luis Sanz Morales</t>
  </si>
  <si>
    <t>Acaban de decir que los escupitajos de hoy es lo peor que se ha visto en el Congreso. Pues porque no estuvieron en la Restauración (Pablo Iglesias diciendo a Maura que le iban a hacer un atentado) o en la II República donde se amenazaban de muerte todos, la derecha y la izquierda</t>
  </si>
  <si>
    <t>Filiale der Hölle auf Erden</t>
  </si>
  <si>
    <t>Algún día diré: "Señora, a mí ya me gustaba el Imperio Austrohúngaro antes de estar de moda".</t>
  </si>
  <si>
    <t>Manrique, Medellin</t>
  </si>
  <si>
    <t>Pablo Iglesias confirma que seguirá al frente de Podemos y toma “nota” del 31% que pidió su dimisión: El secretario general de Podemos, Pablo Iglesias, ha confirmado este domingo que va a seguir al frente del partido, al obtener el apoyo del 68% de … …</t>
  </si>
  <si>
    <t>http://dlvr.it/QrmcMZ</t>
  </si>
  <si>
    <t>https://pbs.twimg.com/media/DsiDwW7U4AEuJIq.jpg</t>
  </si>
  <si>
    <t>Abogados Manrique, Medellin llama 320 542-9469 #Manrique #Medellin http://abogadosmedellin.mobi/manrique-medellin-abogados https://es-la.facebook.com/Medellin-Abogados-2172353462989948/ http://abogadosmedellin.mobi/manrique-medellin-abogados.html</t>
  </si>
  <si>
    <t>http://abogadosmedellin.mobi/manrique-medellin-abogados</t>
  </si>
  <si>
    <t>Alfred Reyes</t>
  </si>
  <si>
    <t>En realidad solo soy una pequeña parte de este enorme mundo en el que nos ha tocado vivir. Eso si, una parte muy divertida.</t>
  </si>
  <si>
    <t>Cibaria</t>
  </si>
  <si>
    <t>¡Abrimos nuestro obrador 8.0! Llegamos a Gijón para expandir los hábitos de vida saludables y seguir aumentando el número de cibarianos🥪🥗😋 Estamos en la calle Avenida Pablo Iglesias, 81</t>
  </si>
  <si>
    <t>Servicio de Comida Saludable, elaborada bajo estándares de calidad por personal cualificado y con materias primas seleccionadas. Servicio en obrador y take away</t>
  </si>
  <si>
    <t>http://cibaria.net</t>
  </si>
  <si>
    <t>Raidtxu 🎗️ #1Oct 🗳️</t>
  </si>
  <si>
    <t>Borrell es la cosa más nauseabunda que hay en la política, supera a cualquiera de Vox o el PP, este tipo es mucho peor... y encima está en el PSOE... madre mía, si Pablo iglesias levantara la cabeza..</t>
  </si>
  <si>
    <t>Cabreirés, Leonés y Catalán de adopción. Portem un món nou en els nostres cors; i és un món que està creixent en aquest instant.</t>
  </si>
  <si>
    <t>https://spanishpolice.github.io</t>
  </si>
  <si>
    <t>Pablo Iglesias confirma que seguirá al frente de Podemos y toma “nota” del 31% que pidió su dimisión  El secretario general de Podemos, Pablo Iglesias, ha confirmado este domingo que va a seguir al frente del partido, al obtener el apoyo del 68% de … …</t>
  </si>
  <si>
    <t>https://ift.tt/2KnwlO0</t>
  </si>
  <si>
    <t>Abogados en barrio Bomboná Nº 1, Medellin, Antioquia llama 320 542-9469 http://abogadosmedellin.mobi/aranjuez-medellin-abogados.html http://abogadosmedellin.mobi/aranjuez-medellin-abogados-de-familia http://abogadosmedellin.mobi/aranjuez-medellin-abogados-comercial</t>
  </si>
  <si>
    <t>http://abogadosmedellin.mobi/aranjuez-medellin-abogados-civil</t>
  </si>
  <si>
    <t>ADAY QUESADA. Pablo Iglesias: “La bandera tricolor es el símbolo de los perdedores y no volverá a resurgir” . insurgente_org</t>
  </si>
  <si>
    <t>https://ift.tt/2AkwLAn</t>
  </si>
  <si>
    <t>https://pbs.twimg.com/media/DsiAdiMWoAIodzz.jpg</t>
  </si>
  <si>
    <t>https://ift.tt/2S6L8PT</t>
  </si>
  <si>
    <t>https://pbs.twimg.com/media/DsiAZRJXcAE6Swz.jpg</t>
  </si>
  <si>
    <t>mpino</t>
  </si>
  <si>
    <t>Me ha gustado un vídeo de @YouTube ( - Pablo Iglesias: "Nuestro país está ocho puntos por debajo de la media</t>
  </si>
  <si>
    <t>http://youtu.be/dJQamM0sPOk?a</t>
  </si>
  <si>
    <t>Esta primavera del '18 me recuerda a otras primaveras. Muchas gracias a l@s #Pensionistas, l@s #Feministas y #RestoDeMareasUnidas ✊✊✊</t>
  </si>
  <si>
    <t>Ángel Manuel García</t>
  </si>
  <si>
    <t>La democracia es el principal motivo por el que tenemos en las Cortes Generales a políticos marxistas como Gabriel Rufián y Pablo Iglesias. Esta es una vía de ascenso para totalitarios.</t>
  </si>
  <si>
    <t>Extremadura, Spain</t>
  </si>
  <si>
    <t>💻 Computer Engineering (@UDIMA) | 🗣 @relibertad @copealmendralej @ActonInstitute @ahorainformac @mises @NavarraConfiden | @clubdeviernes | Paleolibertarian</t>
  </si>
  <si>
    <t>http://www.amgarciac.es</t>
  </si>
  <si>
    <t>dani moyano sequera</t>
  </si>
  <si>
    <t>Te iba a votar Clinton pero ya no si no te gusta Pablo Iglesias formamaros un partido nuevo porque solo perjudicais a podemos dividiis el voto para l derecha corrupta Pablo PresidenteLos 'Clinton de Cádiz' no quieren saber de Pablo Iglesias  vía @elmundoes</t>
  </si>
  <si>
    <t>Radio PICA</t>
  </si>
  <si>
    <t>PABLITO, PABLITO QUE TE VENDES !! Pablo Iglesias:”la bandera tricolor es el símbolo de los perdedores y no volverá a resurgir”-</t>
  </si>
  <si>
    <t>Barcelona / New York / London</t>
  </si>
  <si>
    <t>Ràdio independent-no comercial, online 24 hores a: http://www.radiopica.online - smartphones, tablets, ordenador. LINK EMISSIÓ: http://bit.ly/streamradiopica</t>
  </si>
  <si>
    <t>http://www.radiopica.online</t>
  </si>
  <si>
    <t>❄ Snowy Nick ❄</t>
  </si>
  <si>
    <t>Pablo Iglesias dame like</t>
  </si>
  <si>
    <t>Nick/ Personal acc of: @Alexandernikos_ //Gay!// Spanish/valencian tweet// amo a Mr Reus // Icon by: @pphonies</t>
  </si>
  <si>
    <t>https://curiouscat.me/Naruhodomitsu</t>
  </si>
  <si>
    <t>Alberto Neira</t>
  </si>
  <si>
    <t>No me negaréis que el que escupan en el Parlamento al mismo PSOE de Pablo Iglesias (el autentico, no el fake de Pablo Manuel), Negrín, Prieto, Largo Caballero, y el que tanto loa la memoria de personajes como La Pasionaria o Carrillo, tiene su punto de justicia poético-histórica.</t>
  </si>
  <si>
    <t>Abogado y consultor en derecho público e internacionalización. Licenciado por la @UAM_Madrid. @dchoglobalhoy @analistastc @tocalayvete @twiceconsulting</t>
  </si>
  <si>
    <t>http://www.derechoyestado.com</t>
  </si>
  <si>
    <t>El sábado, Lo Mas Crudo Teatro, presenta su adaptación de la obra Woyzeck en la Muestra Local de Teatro. Esta obra es considerada la primera pieza del teatro contemporáneo por su espíritu de ruptura. Os esperamos a las 20:00 h. en el C.C. Pablo Iglesias.</t>
  </si>
  <si>
    <t>https://pbs.twimg.com/media/Dsh5-4uWwAAzn2v.jpg</t>
  </si>
  <si>
    <t>amigos del che</t>
  </si>
  <si>
    <t>Como el PSOE en 1982 Iglesias propugna un "cambio tranquilo" PABLO IGLESIAS: "LA BANDERA TRICOLOR ES EL SÍMBOLO DE LOS PERDEDORES Y NO VOLVERÁ A RESURGIR" Nuevo giro copernicano pablista :"La Monarquía sirvió para asegurar el paso de la dictadura a...</t>
  </si>
  <si>
    <t>Estefania</t>
  </si>
  <si>
    <t>https://okdiario.com/espana/2017/06/12/pp-obligara-iglesias-explicar-senado-cuenta-272-000-paraiso-fiscal-1068194#.W_VaD36Em--.facebook</t>
  </si>
  <si>
    <t>Tenerife, Colombia</t>
  </si>
  <si>
    <t>Comerciante (Autonomo)</t>
  </si>
  <si>
    <t>Armando Ruido</t>
  </si>
  <si>
    <t>▶️Kichi y Teresa.... les llaman los CLINTON ¡que arte! ¿quieren saber más? Lean lean😂😂😂😂😂😂😂😂😂😂😂😂😂😂😂 Los 'Clinton de Cádiz' no quieren saber de Pablo Iglesias  vía @elmundoes</t>
  </si>
  <si>
    <t>Para que triunfe el mal, basta con que los hombres de bien no hagan nada. Edmund Burke</t>
  </si>
  <si>
    <t>Manuel Artero</t>
  </si>
  <si>
    <t>"Hay que tener mala baba, con quién la detenta, No se puede jugar con palabras bonitas frente a quienes utilizan el insulto y la manipulación más rastrera" En #LaPaseata hoy</t>
  </si>
  <si>
    <t>https://wp.me/p8a6rH-cnb</t>
  </si>
  <si>
    <t>https://pbs.twimg.com/media/Dsh1gjNXoAEg0lc.jpg</t>
  </si>
  <si>
    <t>Desde Madrid en paseata</t>
  </si>
  <si>
    <t>Con el equipaje de los reporteros camino de la personal casa de los maquis</t>
  </si>
  <si>
    <t>https://lapaseata.net/</t>
  </si>
  <si>
    <t>canuto</t>
  </si>
  <si>
    <t>Pablo Iglesias Nos Compra Una Mansión  vía @YouTube</t>
  </si>
  <si>
    <t>https://youtu.be/WJQT3t1sWgU</t>
  </si>
  <si>
    <t>😂😂😂😂😂</t>
  </si>
  <si>
    <t>SANDALIO CARMONA</t>
  </si>
  <si>
    <t>Los 'Clinton de Cádiz' no quieren saber de Pablo Iglesias  via @elmundoes</t>
  </si>
  <si>
    <t>miami</t>
  </si>
  <si>
    <t>share links or re-tweet a fellow Tweeters useful link.</t>
  </si>
  <si>
    <t>UND_R CONSTRUCTION</t>
  </si>
  <si>
    <t>"Es obvio que la pregunta era retórica, y que Pablo Iglesias solo la formulaba con el objeto de regalarse los oídos con la calidez de los vítores de un auditorio cómplice". "PARA QUÉ SIRVE LA MONARQUÍA", la opinión de Víctor Núñez Díaz (@VND18). 📲 Ya en</t>
  </si>
  <si>
    <t>http://undrconstruction.com</t>
  </si>
  <si>
    <t>https://pbs.twimg.com/media/Dshzqn5XQAAsgeb.jpg</t>
  </si>
  <si>
    <t>💻 Revista digital. Periodismo, entrevistas, multimedia, reportajes, noticias, quotes... 🙋🏻‍♂️ Descúbrenos en http://undrconstruction.com 📲 Contenido propio y RT</t>
  </si>
  <si>
    <t>VÍDEO | Pablo Iglesias, Juan Luis Cebrián, Aznar, García Egea… los momentos más tensos de Carlos Alsina en Más de uno</t>
  </si>
  <si>
    <t>http://atres.red/8edv28</t>
  </si>
  <si>
    <t>FRANCISCO FLORES</t>
  </si>
  <si>
    <t>Me explico por la curiosidad, me encelan la amistad y el conocimiento y mantengo mis convicciones con la vital certeza de la duda.</t>
  </si>
  <si>
    <t>http://page.is/francisco-flores</t>
  </si>
  <si>
    <t>Fernando</t>
  </si>
  <si>
    <t>No tengo 20 años,solo es un numero.Naci un dia de Helloween a las doce de la noche.Atletico de Madrid.</t>
  </si>
  <si>
    <t>Estrellado</t>
  </si>
  <si>
    <t>La Comisión Europea destroza el borrador presupuestario español para 2019, ese panfleto firmado en Moncloa por Pedro Sánchez y Pablo Iglesias sin ningún tipo de consenso. Y así les ha ido a los okupas.</t>
  </si>
  <si>
    <t>Waterloo, Bélgica</t>
  </si>
  <si>
    <t>Un toque de realidad para quienes, a base de demagogia e ingenuidad, han abandonado la senyera para abrazar la estrellada.</t>
  </si>
  <si>
    <t>El lío lo montó Rufián pero la culpable es Pastor, según los de Pablo Iglesias</t>
  </si>
  <si>
    <t>https://www.esdiario.com/214295113/Podemos-desbarra-y-culpa-a-Ana-Pastor-del-escandalo-montado-por-Rufian-.html</t>
  </si>
  <si>
    <t>pedro sanchez guerre</t>
  </si>
  <si>
    <t>https://okdiario.com/espana/2017/06/12/pp-obligara-iglesias-explicar-senado-cuenta-272-000-paraiso-fiscal-1068194#.W_VRzu7dNoe.twitter</t>
  </si>
  <si>
    <t>madrid</t>
  </si>
  <si>
    <t>Fundación CEDAT</t>
  </si>
  <si>
    <t>La periodista Rosa Villacastín y la Fundación de Empleo de Ávila, premiados con las Distinciones Pablo Iglesias</t>
  </si>
  <si>
    <t>https://ift.tt/2TxAH9y</t>
  </si>
  <si>
    <t>Los objetivos de la Fundación CEDAT son el estudio y desarrollo de mecanismos facilitadores de la integración e independencia de las personas con discapacidad.</t>
  </si>
  <si>
    <t>http://www.fundacioncedat.org</t>
  </si>
  <si>
    <t>JOSE GABRIEL LOPEZ</t>
  </si>
  <si>
    <t>MALAGA</t>
  </si>
  <si>
    <t>Boticario</t>
  </si>
  <si>
    <t>Kaosenlared_net</t>
  </si>
  <si>
    <t>http://bit.ly/2Fz9ccC</t>
  </si>
  <si>
    <t>https://pbs.twimg.com/media/Dsht7AvXcAAZ--E.jpg</t>
  </si>
  <si>
    <t>(Cuenta Oficial) Medio de Comunicación Anticapitalista</t>
  </si>
  <si>
    <t>http://www.kaosenlared.net/</t>
  </si>
  <si>
    <t>MNG</t>
  </si>
  <si>
    <t>A todos esos podemitas coletas rastas pordioseros y mamporreros de Pablo Iglesias y Maduro que me insultan y me llaman manipulador. Ahí tenéis so gilipollas. Ahora id a pedir algo al PSOE PP CIUDADANOS .. a la puta calle y estraditados para Venezuela jajajaj</t>
  </si>
  <si>
    <t>https://pbs.twimg.com/media/Dshtfl_WkAEEbYP.jpg</t>
  </si>
  <si>
    <t>Intersocial</t>
  </si>
  <si>
    <t>Consultoría e Investigación Social</t>
  </si>
  <si>
    <t>http://www.intersocial.es</t>
  </si>
  <si>
    <t>observando el cambio</t>
  </si>
  <si>
    <t>Buscar la belleza en las cosas sencillas</t>
  </si>
  <si>
    <t>Jxvy</t>
  </si>
  <si>
    <t>pablo iglesias: té RT @Bluper: Mónica Naranjo arremete contra 'OT 2018': "Es muy rancio y es un coñazo"  #OTDirecto21NOV</t>
  </si>
  <si>
    <t>https://twitter.com/Bluper/status/1065200639276400640
https://www.elespanol.com/bluper/noticias/monica-naranjo-arremete-ot-2018-rancio-conazo</t>
  </si>
  <si>
    <t>https://pbs.twimg.com/media/DshaSzhWsAAuqs1.jpg</t>
  </si>
  <si>
    <t>🌹🥀💀</t>
  </si>
  <si>
    <t>http://instagram.com/javi_garras</t>
  </si>
  <si>
    <t>Mjesus Nieva</t>
  </si>
  <si>
    <t>No hablo ni con antidemócratas ni antiespañoles. Fuera coleteros.</t>
  </si>
  <si>
    <t>Berenice Gómez</t>
  </si>
  <si>
    <t>¿Es que lo dudas? ¿Quién crees que llegó a Moncloa? ¿Pedro Sánchez y "la alianza Frankenstein? o Pablo Iglesias, Podemos y los que quieren dividir a España? Ya le dijimos bye a AMerkel, y a su democracia liberal, así con dolor le diremos a @IvanDuque ¡Ojalá abrieran los ojos! RT @keminPorta: SE TAMBALEA GOBIERNO DE PEDRO SÁNCHEZ EN ESPAÑA ! El Presidente de España baraja realizar elecciones en la próxima primavera, si no logra aprobar los Presupuestos Generales de Estado para 2019.</t>
  </si>
  <si>
    <t>https://twitter.com/keminPorta/status/1065200889844166657</t>
  </si>
  <si>
    <t>Periodista de http://tururutururu.com/ También puedes seguirme por mi cuenta personal @berenicegomez52</t>
  </si>
  <si>
    <t>http://tururutururu.com/</t>
  </si>
  <si>
    <t>prnoticias</t>
  </si>
  <si>
    <t>Mientras Pablo Iglesias apoya a los trabajadores subcontratados de #Airbus, la compañía aeronáutica guarda silencio</t>
  </si>
  <si>
    <t>http://prnoticias.com/comunicacion/prcomunicacion/20170757-silencio-comunicativo-de-airbus-ante-el-conflicto-en-sus-plantas-de-illescas-y-getafe</t>
  </si>
  <si>
    <t>https://pbs.twimg.com/media/Dshp7RNWwAA09NQ.jpg</t>
  </si>
  <si>
    <t>Medio online especializado en #Medios #Comunicación, #Marketing y #Periodismo. Síguenos también en https://www.facebook.com/prnoticias/</t>
  </si>
  <si>
    <t>http://www.prnoticias.com</t>
  </si>
  <si>
    <t>Sermón a Pablo Iglesias LIBERTAD DE ACCIÓN, Sometimiento, LIBERTAD DE ACCIÓN,</t>
  </si>
  <si>
    <t>https://youtu.be/W3c-zUIsyss</t>
  </si>
  <si>
    <t>IsmaSesma 🐺🇪🇸</t>
  </si>
  <si>
    <t>Creo yo que Pablo iglesias no llamaría a otegui hombre de paz si algún familiar suyo hubiese volado en pedazos en algún atentado... pero eso de la empatía con las victimas ya para manana</t>
  </si>
  <si>
    <t>In another reality I gues</t>
  </si>
  <si>
    <t>Estudiante de Ingeniería Aeroespacial en la ETSIAE🚀| Friki absoluto de... todo (?) 🧙🏻‍♂️| A veces escribo</t>
  </si>
  <si>
    <t>Los 'Clinton de Cádiz' no quieren saber de Pablo Iglesias  vía @elmundoes Que lastima no verlos sobrevivir en #Cuba o #Venezuela</t>
  </si>
  <si>
    <t>Taboo 🇪🇸</t>
  </si>
  <si>
    <t>Español, blanco y trabajador,me gusta el jamoncito ibérico y el Ribera del Duero hoy en día en nuestra querida España lo que viene a ser Taboo☘️.</t>
  </si>
  <si>
    <t>Freetourmadrid</t>
  </si>
  <si>
    <t>https://trib.al/5Rb4VNw</t>
  </si>
  <si>
    <t>Facebook Madrid a pie Free Tour Madrid</t>
  </si>
  <si>
    <t>http://www.madridapie.com</t>
  </si>
  <si>
    <t>andre</t>
  </si>
  <si>
    <t>q miserable es ser asesino y matar a sangre fria ,destruir una vida.una familia.quien puede sentirse bien asesinando..sentirse orgulloso?quien? y q luego estupidos libertarios les aplaudan.q venga pablo iglesias y les apoye..de verdad dan asco,personas sin moral ni etica RT @lopez_vallet: "¡No sabéis cuanto valen la libertad, la democracia en este país! ¡Gritad más, que gritáis poco! Gritad, porque mientras gritéis no mataréis." Hoy hace 18 años que Ernest Lluch fue asesinado por ETA. #NoOlvidamos</t>
  </si>
  <si>
    <t>https://twitter.com/lopez_vallet/status/1065163716868694016</t>
  </si>
  <si>
    <t>pic.twitter.com/gN8jugyfud</t>
  </si>
  <si>
    <t>juan herrero eraso</t>
  </si>
  <si>
    <t>Pedro Sánchez , Pablo Iglesias , Susana Diaz , Teresa Rodriguez ¿ Cual es su opinión sobre la CE ? ¿ Cual es la opinión de su partido politico sobre la CE ? ¿ Van a presentar el PGE , como ?</t>
  </si>
  <si>
    <t>https://www.larazon.es/economia/la-ce-advierte-que-el-presupuesto-espanol-incumple-las-normas-KG20623801#pk_campaign=MASwpn&amp;pk_kwd=Aviso+de+la+Comisi%C3%B3n+Europea</t>
  </si>
  <si>
    <t>La foto del perfil no es la mia , es la del padre Pio</t>
  </si>
  <si>
    <t>En Nuestra Plaza: A lo mejor, entre los gritos de "fascistas" y "golpistas" y el escupitajo fantasma a Borrell, se les olvida contarte que Pablo Iglesias ha propuesto a Sanchez Castejón que los 22.000 millones que nos costó Bankia sirvan para tener una b…</t>
  </si>
  <si>
    <t>https://ift.tt/2DPqGzT</t>
  </si>
  <si>
    <t>Juan Negri 💚</t>
  </si>
  <si>
    <t>Hice el test de populismo de The Guardian y me dio que soy parecido a Pablo Iglesias. Me presta su revólver, @abrosler?</t>
  </si>
  <si>
    <t>https://pbs.twimg.com/media/DshjSZxXcAAv6tZ.jpg</t>
  </si>
  <si>
    <t>PhD en Ciencia Politica. Docente @UNSAM_EPYG y @UTDiTella. Fanatico del mantecol. Hincha y socio de @racingclub</t>
  </si>
  <si>
    <t>https://jjnegri.wixsite.com/jnegri</t>
  </si>
  <si>
    <t>Carlos del Diego</t>
  </si>
  <si>
    <t>"Banca pública al servicio de la ciudadanía" dice Pablo Iglesias. Solamente hay que ver el último ejemplo de gestión de cajas para saber que el servicio era lo que menos importaba. Maduro habla mucho también de preocuparse de su pueblo y la realidad es lo que menos le importa.</t>
  </si>
  <si>
    <t>Ireland</t>
  </si>
  <si>
    <t>I love those who can smile in trouble...</t>
  </si>
  <si>
    <t>@Pablo_Iglesias "LA MEMORIA HISTÓRICA ES LA GASOLINA DEL FUTURO"</t>
  </si>
  <si>
    <t>https://youtu.be/kFH5l3IF8sk</t>
  </si>
  <si>
    <t>He hecho un test para ver cómo de populista soy y me ha salido que soy como Pablo Iglesias, porque básicamente creo en los derechos lgtb, el socialismo, estoy en contra del libre mercado y el feminismo me parece genial. A ver si los populistas van a ser los de The Guardian...</t>
  </si>
  <si>
    <t>https://pbs.twimg.com/media/DshhV6EXQAAv-DR.jpg</t>
  </si>
  <si>
    <t>Mago don Andrés</t>
  </si>
  <si>
    <t>Pablo Iglesias dice que la bandera de la República no sirve para nada. Y que haya defendido yo a este tío</t>
  </si>
  <si>
    <t xml:space="preserve">En la suela de tu zapato </t>
  </si>
  <si>
    <t>Estudiante de 3° del grado de Química de la UCLM. Republicano. Metal</t>
  </si>
  <si>
    <t>Aquí me situó según el test de @guardian. Una limitación que veo: los ciudadanos tienen una tendencia más "ideológica" que algunos líderes políticos. Ejemplo: aunque Pablo Iglesias apoye a un gobierno socialdemócrata, no quiere decir que esté personalmente situado en ese punto.</t>
  </si>
  <si>
    <t>https://pbs.twimg.com/media/DshfItFXcAENNhE.jpg</t>
  </si>
  <si>
    <t>marcos gomez gallego</t>
  </si>
  <si>
    <t>https://www.elconfidencial.com/espana/2016-04-04/financiacion-ilegal-podemos-venezuela-pago-millones-pablo-iglesias-juan-carlos-monedero-jorge-vestrynge_1178845/?utm_source=facebook&amp;utm_medium=social&amp;utm_campaign=BotoneraWeb</t>
  </si>
  <si>
    <t>Jubilado accidente laboral Afiliado del PP</t>
  </si>
  <si>
    <t>Qué alivio debe de ser para Pablo Iglesias que al menos le haya dado tiempo para tener el casoplón y los niños, que si no qué dura se le podría estar haciendo la irrelevancia.</t>
  </si>
  <si>
    <t>Madrid ~ Mérida</t>
  </si>
  <si>
    <t>Desubicado pero adaptado.</t>
  </si>
  <si>
    <t>Sumamos más de 25.000 firmas en .@change_es pidiendo que el maltrato a animales silvestres sea tipificado como DELITO y que se prohíba el uso de perros en las cacerías 📛🐕 ✏️ Firma la petición  🦌 Apoya la campaña</t>
  </si>
  <si>
    <t>https://pbs.twimg.com/media/Dshb7c0WoAAcOaf.jpg</t>
  </si>
  <si>
    <t>Gonzalo Fernández de Córdoba🇪🇸🇪🇸🇪🇸</t>
  </si>
  <si>
    <t>¡Qué VERGÜENZA! Pedro Sánchez y Pablo Iglesias son dos 'moscas' de la misma mierda  vía @Periodistadigit</t>
  </si>
  <si>
    <t>https://www.periodistadigital.com/opinion/columnistas/2018/11/20/pedro-sanchez-y-pablo-iglesias-son-dos-moscas-de-la-misma-mierda.shtml</t>
  </si>
  <si>
    <t>Sánchez pospone la venta de Bankia (pero no sacia a Podemos). Pedro Sánchez responde a Pablo Iglesias que no es un buen momento para culminar la privatización de Bankia por la baja cotización de la entidad  vía @EconomiaED_</t>
  </si>
  <si>
    <t>https://www.economiadigital.es/finanzas-y-macro/sanchez-pospone-la-venta-de-bankia-pero-no-sacia-a-podemos_590039_102.html</t>
  </si>
  <si>
    <t>El Fari y Botin</t>
  </si>
  <si>
    <t>http://www.elmundo.es/andalucia/2018/11/21/5bf46ba046163f4da28b4607.html</t>
  </si>
  <si>
    <t>Andorra</t>
  </si>
  <si>
    <t>Te caes...y te levantas.</t>
  </si>
  <si>
    <t>Juan Vidal</t>
  </si>
  <si>
    <t>nací...y llevo desde entonces dando vueltas...</t>
  </si>
  <si>
    <t>"Convertir Bankia en una banca pública" (Pablo Iglesias a Pedro Sánchez) #FelizMiércoles #DíaMundialdelaTelevisión #congresoAPD #CooperaPaCuando #DíaMundialdelaTelevisión #OTDirecto21NOV La OCDE  vía @YouTube</t>
  </si>
  <si>
    <t>#DíaMundialdelaTelevisión Pablo Iglesias, Podemos y su financiación. Al Loro! Que no te engañen. Dentro Vídeo👇</t>
  </si>
  <si>
    <t>Leonardo Quezada</t>
  </si>
  <si>
    <t>No se puede tomar con seriedad a alguien q anda compartiendo weas de kast o de pablo iglesias y no en tono ironico</t>
  </si>
  <si>
    <t>Lebu - Concepcion</t>
  </si>
  <si>
    <t>Estudiante de Derecho. Ateo de los bautizados. Liberal, Cinéfilo Amante del futbol, del rock, de las seriazas y de la literatura de la wena</t>
  </si>
  <si>
    <t>http://leonxrocks.tumblr.com/</t>
  </si>
  <si>
    <t>jalocu1960</t>
  </si>
  <si>
    <t>MONTESQUIEU-1956</t>
  </si>
  <si>
    <t>EUROPA-ESPAÑA.-</t>
  </si>
  <si>
    <t>POR LA LIBERTAD INDIVIDUAL Y ECONÓMICA.NO A LO POLÍTICAMENTE CORRECTO.BUSCANDO SIEMPRE LA VERDAD.DERECHO Y CRIMINOLOGÍA.</t>
  </si>
  <si>
    <t>http://www.sajimes.blogspot.com</t>
  </si>
  <si>
    <t>Zeno-sama #Tram0 St Esteve de les Roures</t>
  </si>
  <si>
    <t>Josep Borrell es un viejo senil que escucha lo que quiere, ya que Gabriel Rufián no le ha llamado racista al ministro de exteriores y por eso se ha montado lo que se ha montado. Vamos yo veo muchas veces Albert Rivera y Pablo Casado insultando a Pablo Iglesias cada vez que habla</t>
  </si>
  <si>
    <t>Catalunya, País Valencià.</t>
  </si>
  <si>
    <t>Cupaire, Independentista y de Izquierdas. Según PPSOEC's: Nazibolivariano. Alérgico a la Corrupción y al cinismo. En mí tiempo libre soy Zeno-sama.</t>
  </si>
  <si>
    <t>Moriarty</t>
  </si>
  <si>
    <t>Pendiente en el debate político los límites en el uso del whatsapp. ¿cuando es privado o público? Lo de Cosidó es gravísimo, ¿y lo de Pablo Iglesias del "azotarla hasta sangrar" sobre Mariló? 🤔</t>
  </si>
  <si>
    <t>Poeta sin palabras. Adicto a un fracaso suave.</t>
  </si>
  <si>
    <t>ROSA C M</t>
  </si>
  <si>
    <t>Un juez concluye que el número dos de la Policía con el PP usó información robada en el caso Pujol  vía @eldiarioes el señor que encargó el informe falso, A Pablo Iglesias.</t>
  </si>
  <si>
    <t>https://m.eldiario.es/_31f0143c</t>
  </si>
  <si>
    <t>De trabajar ,toda mi vida en Bolsa, pasó con mi forma de pensar ,hacer militancia para un partido como Podemos siempre en defensa, de un mundo mejor.</t>
  </si>
  <si>
    <t>Seguimos... 💜Pregunta de nuestro Secretario General Pablo Iglesias al Presidente del Gobierno. ¿Cuáles son los planes del Gobierno para Bankia?</t>
  </si>
  <si>
    <t>https://www.facebook.com/francisco.gagonieto.9/posts/2232069243492842</t>
  </si>
  <si>
    <t>Elperroverde</t>
  </si>
  <si>
    <t>San Cristóbal de la Laguna, Is</t>
  </si>
  <si>
    <t>Aficionado a los perros, al vino, running, tecnología móvil y ordenadores, motos y más of course.</t>
  </si>
  <si>
    <t>http://elperroverdeverde.blogspot.com.es/?m=1</t>
  </si>
  <si>
    <t>Guillermo_Velasco</t>
  </si>
  <si>
    <t>A navazajos en el partido que quería ser distinto a los demás partidos.... Los 'Clinton de Cádiz' no quieren saber de Pablo Iglesias @elmundoes</t>
  </si>
  <si>
    <t>Pisé el Abismo de Helm y acabé un maratón (una de las dos cosas es mentira). Me siento bien en multitud de lugares, tambien metiéndome en charcos</t>
  </si>
  <si>
    <t>http://google.com</t>
  </si>
  <si>
    <t>SIGFRID SOR I.A.</t>
  </si>
  <si>
    <t>Los excepcionales balances de gestión de España se imponen a los okupas de Pablo Iglesias en La Sexta Noche</t>
  </si>
  <si>
    <t>WestWorld</t>
  </si>
  <si>
    <t>Generador automático de tweets de Sigfrid Soria inspirado por @Els_quatre_gats. Experimento paródico para descifrar cómo funciona su mente.</t>
  </si>
  <si>
    <t>https://twitter.com/Els_quatre_gats/status/560833460836007937</t>
  </si>
  <si>
    <t>Advan-40</t>
  </si>
  <si>
    <t>¡¡VEN A VERLO!! No pierdas esta OPORTUNIDAD!! Piso en Avd. Pablo Iglesias en 59.000€🏡👌🔝 #Advan40 #Preciosbajos #Almería #equipo</t>
  </si>
  <si>
    <t>http://www.advan-40.es/inmueble-7302403/municipio-Almeria/piso-en-avenida-pablo-iglesias.aspx</t>
  </si>
  <si>
    <t>Aguadulce, Andalucía</t>
  </si>
  <si>
    <t>Inmobiliaria con oficinas en Aguadulce (Avenida Carlos III 435), Almería (Dra. Elena Lazaro 11) y Madrid (CL Castelló 23 2ºD)</t>
  </si>
  <si>
    <t>http://www.advan-40.es/</t>
  </si>
  <si>
    <t>#FelizMiércoles El sábado 24 Pilar González, Pilar Távora, Mari García, Pepe Chamizo, Teresa Rodríguez y Antonio Maíllo estarán acompañados en #Sevilla por Pablo Iglesias y Alberto Garzón. ¡#AdelanteAndalucia que vamos a llenar el Palacio de Congresos! #SalimosAdelante y a ganar</t>
  </si>
  <si>
    <t>https://pbs.twimg.com/media/DshQIFCWkAADEkH.jpg</t>
  </si>
  <si>
    <t>En Nuestra Plaza: Pablo Iglesias ya no da miedo.</t>
  </si>
  <si>
    <t>https://ift.tt/2S64PHw</t>
  </si>
  <si>
    <t>Mirada Liberal</t>
  </si>
  <si>
    <t>No os olvideis felicitar a Pablo Iglesias hoy, el #DíaMundialdelaTelevisión: Da igual el canal que pongas (ver hilo), ahí estará Pablo Iglesias para venderte su comunismo. La 1)</t>
  </si>
  <si>
    <t>https://pbs.twimg.com/media/DshPTb4WsAEsA-3.jpg</t>
  </si>
  <si>
    <t>Padre, hijo, maestro y alumno. Español, demócrata y católico.</t>
  </si>
  <si>
    <t>https://pbs.twimg.com/media/Dse_qUoWkAIyOh1.jpg</t>
  </si>
  <si>
    <t>Per El Terrible</t>
  </si>
  <si>
    <t>Que Pablo Iglesias te engañe tiene su aquel, pero, ¿¿¿qué cojones tienen en la cabeza para votar a @gabrielrufian ??? ¿Será por una apuesta?</t>
  </si>
  <si>
    <t>Analista, consultor y desarrollador de software y hardware a medida. Si te han dicho que lo que necesitas no se puede hacer pregúntame a mí. Altas capacidades.</t>
  </si>
  <si>
    <t>Tuflo</t>
  </si>
  <si>
    <t>Mira que aun sudándome la polla la política me parece que Rufián es lo más deplorable que ha habido en la democracia española. Y ojo al detalle, cuando le responde el ministro todos aplauden su respuesta menos Pablo Iglesias 😂 Dios los cría y ellos se juntan. RT @el_pais: Vídeo | Así ha sido la escena completa en la que Rufián, que ha acabado expulsado, ha llamado "hooligan" a Borrell. En el minuto cinco está el escupitajo que ha denunciado el ministro</t>
  </si>
  <si>
    <t>https://twitter.com/el_pais/status/1065168101342359552
http://bit.ly/2FLtMa7</t>
  </si>
  <si>
    <t>pic.twitter.com/E1szG71ueb</t>
  </si>
  <si>
    <t>Bioquímica, Máster y en paro.</t>
  </si>
  <si>
    <t>Hago humor machista sin ser machista, humor racista sin ser racista y humor negro sin ser negro. Un día cabreé a 5 otakus y casi pierdo la cuenta.</t>
  </si>
  <si>
    <t>http://instagram.com/alcantuffly</t>
  </si>
  <si>
    <t>Aragorn de Mordor</t>
  </si>
  <si>
    <t>Ya solo falta que salga Pablo Iglesias diciendo: "los que nos llaman golpistas le están llamando puta a Irene Montero".</t>
  </si>
  <si>
    <t>Tu le connais, lecteur, ce monstre délicat.</t>
  </si>
  <si>
    <t>El Gobierno del PP nacionalizó Bankia con el dinero de todos los españoles. ¿Qué sentido tiene privatizarla ahora que la hemos saneado? Lo sensato es que Bankia funcione como banca pública, al servicio de la ciudadanía. Así se lo he dicho a Pedro Sánchez en el Congreso 👇🏽</t>
  </si>
  <si>
    <t>LUIS JORDÁN TORRENT</t>
  </si>
  <si>
    <t>https://okdiario.com/espana/2017/06/12/pp-obligara-iglesias-explicar-senado-cuenta-272-000-paraiso-fiscal-1068194?fbclid=IwAR3mQEbKS6FGFcNU9qctG771QTby8pCo5_YXL5aSTu-8sC0ML5UEiUyXzx4#.W_BTDKgEUmF.facebook</t>
  </si>
  <si>
    <t>MOLINA DE SEGURA ( MURCIA )</t>
  </si>
  <si>
    <t>MÉDICO DE URGENCIAS Y EMERGENCIAS Ldo.en Medicina y Cirugía,aficionado al ciclismo. Nací en Novelda(Alicante),y actualmente resido en Murcia.</t>
  </si>
  <si>
    <t>http://facebook.com/luisenrique.jordantorrent</t>
  </si>
  <si>
    <t>Jorge Vilches</t>
  </si>
  <si>
    <t>Lo de Leticia Dolera es como si Pablo Iglesias viviera en un lujoso chalet o Javier Bardem disfrutara en California de los beneficios del capitalismo mientras aquí despotrica lo maldice, ¿os imagináis? (© Juan Crusoe)</t>
  </si>
  <si>
    <t>Politólogo. Historiador. Profesor UCM. Escribo en @larazon_es @elespanolcom @voz_populi @Disidentia Hablo en @HerreraenCope Coautor #ContraLaSocialdemocracia</t>
  </si>
  <si>
    <t>paco molina dezamora</t>
  </si>
  <si>
    <t>Pablo Iglesias y Alberto Garzón.paco molina de zamora: Cosas de Confucio Molina 2017</t>
  </si>
  <si>
    <t>https://pacomolinadezamora.blogspot.com/2018/01/cosas-de-confucio-molina-2017.html?spref=tw</t>
  </si>
  <si>
    <t>Zamora España</t>
  </si>
  <si>
    <t>Yo soy el que no soy: No soy quien creen que soy. Ni soy quien creo que creen que soy. Ni soy como creo que soy</t>
  </si>
  <si>
    <t>http://pacomolinadezamora.blogspot.com</t>
  </si>
  <si>
    <t>WF Foundation</t>
  </si>
  <si>
    <t>El chalé de Pablo Iglesias, Maduro almorzando en Salt Bae, Leticia Dolera despidiendo a una embarazada. Nos han dejado huérfanos a la gente de izquierdas. Ya no nos queda nada en lo que creer. #FelizMiércoles</t>
  </si>
  <si>
    <t>Aquí amamos a Chávez</t>
  </si>
  <si>
    <t>Ruth Rondón</t>
  </si>
  <si>
    <t>Es todo lo que necesita para implantar su política junto a Pablo Iglesias. Su vocacion es quedarse en el poder. Españoles pendientes. Miren lo que paso en Venezuela y nos esta costando vidas inocentes haber sido tan pendejos. RT @rosadiezglez: Sánchez denomina ‘mi vocacion” a quedarse en la Moncloa hasta el 2020. Sin comentario.</t>
  </si>
  <si>
    <t>https://twitter.com/rosadiezglez/status/1064822104783245312</t>
  </si>
  <si>
    <t>Madre venezolana, luchadora por mis principios. Anticomunista.</t>
  </si>
  <si>
    <t>Antonio Pérez Ortiz</t>
  </si>
  <si>
    <t>07/03/1932.en Salta .-Argentina Hijo y descendiente españoles radicado Murcia 1990. Universitario Exe mpresario Productor, Comerciante y Exportador de Frutas</t>
  </si>
  <si>
    <t>The7Serpare</t>
  </si>
  <si>
    <t>Pablo Iglesias denuncia que un diputado del PP le ha hecho un rko. RT @EFEnoticias: Borrell denuncia que un diputado de ERC le ha escupido en el hemiciclo</t>
  </si>
  <si>
    <t>https://twitter.com/EFEnoticias/status/1065175012318093312
http://bit.ly/2Acv8UX</t>
  </si>
  <si>
    <t>Canal dedicado a los juegos de estrategia, sobre todo de @PdxInteractive.</t>
  </si>
  <si>
    <t>http://youtube.com/channel/UC75avTcGp5N6KViynLF1W8Q</t>
  </si>
  <si>
    <t>Raul Ordoñez</t>
  </si>
  <si>
    <t>Periodista editor y maquetación. Antena 3 Servic.Digit. y colaborador distintas revistas científicas. Seguidor de Masby No defiendo partidos sino ideas.</t>
  </si>
  <si>
    <t>http://www.masaborreguera.com/</t>
  </si>
  <si>
    <t>Canarias Semanal</t>
  </si>
  <si>
    <t>http://canarias-semanal.org/</t>
  </si>
  <si>
    <t>ROQUETERO</t>
  </si>
  <si>
    <t>AHORA ES TARDE PABLITO Pablo Iglesias pasa a la acción contra Pedro Sánchez: afea sus viajes y censura su inacción en España</t>
  </si>
  <si>
    <t>Roquetas de Mar,Almeria.España</t>
  </si>
  <si>
    <t>Pablo Edu Ndongo</t>
  </si>
  <si>
    <t>Por mucho que lo pretendan los llamados "Clinton" Pablo Iglesias es un líder natural y con prestigio,dentro y fuera de nuestro país q por muchos alharacas feudales que hagan los "Clinton" Pablo Iglesias es un líder votado por inmensa mayoría d militantes RT @Somos_Pueblo_: ¿Os acordáis cuando os dije que un periódico de mierda en la ruina técnica para sobrevivir necesita un gran titular para que al día siguiente le crean sus artículos de opinión para hacer política abyecta? Vamos a verlo👇  @elmundoes</t>
  </si>
  <si>
    <t>https://twitter.com/Somos_Pueblo_/status/1065128566298460160
https://www.elmundo.es/andalucia/2018/11/21/5bf46ba046163f4da28b4607.html</t>
  </si>
  <si>
    <t>Podemos Hoy</t>
  </si>
  <si>
    <t>http://dlvr.it/Qrlbjs</t>
  </si>
  <si>
    <t>Tu Barrio.</t>
  </si>
  <si>
    <t>Twitter de noticias del pueblo. PODEMOS cambiar el país para mejor.</t>
  </si>
  <si>
    <t>Isidoro Martínez</t>
  </si>
  <si>
    <t>¿Habrá también Lewinsky? Los 'Clinton de Cádiz' no quieren saber de Pablo Iglesias  vía @elmundoes</t>
  </si>
  <si>
    <t>Me encuentro huyendo de mí cuando conmigo me encuentro...</t>
  </si>
  <si>
    <t>Politikeo UM7BJ</t>
  </si>
  <si>
    <t>Pablo Iglesias pregunta a Pedro Sánchez por BANKIA: ¿Se va a privatizar otra vez?:  vía @YouTube</t>
  </si>
  <si>
    <t>http://youtu.be/psnAJ4UPdvE?a</t>
  </si>
  <si>
    <t>Creador del canal Youtube UM7BJ (giroizquierdadebate). El mundo se divide, entre indignos e indignados, ya sabrá cada quien de qué lado quiere o puede estar✊</t>
  </si>
  <si>
    <t>https://www.youtube.com/channel/UCCx9Dm5y3XklFmIq4thw_SQ</t>
  </si>
  <si>
    <t>Pablo Iglesias ha perdido las elecciones; casi iguala los resultados con Rivera 🔗 SOCIEDAD FEMINISTA, 🌎 ELECCIONES SIN ELECCIÓN,</t>
  </si>
  <si>
    <t>https://goo.gl/ai5Xzt?odh87=230897347</t>
  </si>
  <si>
    <t>Bombita I de Tabarnia</t>
  </si>
  <si>
    <t>Teresita Clinton y consorte Los 'Clinton de Cádiz' no quieren saber de Pablo Iglesias  via @elmundoes</t>
  </si>
  <si>
    <t>Ni de aquí ni de allá, sino todo lo contrario.</t>
  </si>
  <si>
    <t>SanidadUGTsalamanca</t>
  </si>
  <si>
    <t>Concedidas las Distinciones Pablo Iglesias 2017 - UGT Castilla y León</t>
  </si>
  <si>
    <t>https://ugtcyl.es/web/concedidas-las-distinciones-pablo-iglesias-2017</t>
  </si>
  <si>
    <t>Hospital Clínico Salamanca</t>
  </si>
  <si>
    <t>Los 'Clinton de Cádiz' no quieren saber de Pablo Iglesias  vía @elmundoes BASURA CHAVISTA ALIADA DE @sanchezcastejon @PSOE</t>
  </si>
  <si>
    <t>Podemos Cazorla</t>
  </si>
  <si>
    <t>Pablo Iglesias en el Pleno hablando sobre los bancos.</t>
  </si>
  <si>
    <t>https://www.facebook.com/podemoscazorla/posts/954317781430810</t>
  </si>
  <si>
    <t>Alberto Puente</t>
  </si>
  <si>
    <t>En el curso de mi vida, a menudo me he tenido que comer mis palabras, pero debo confesar que es una dieta sana.</t>
  </si>
  <si>
    <t>Carlos H. Echevarría</t>
  </si>
  <si>
    <t>Chsst Teodoro que Montesquieu no se escribe así. Como te coja Pablo Iglesias... RT @TeoGarciaEgea: La enmienda Casado fortalece nuestra justicia y mejora el sistema de elección de los miembros del consejo general del poder judicial Resucitemos a Montiesquieu Seguiremos trabajando por ESPAÑA 🇪🇸</t>
  </si>
  <si>
    <t>https://twitter.com/TeoGarciaEgea/status/1064966554905919489
https://twitter.com/pablocasado_/status/1064961885383114754</t>
  </si>
  <si>
    <t>Periodista calvo. Subdirector de @MVTARDE. Americanadas en @eldiarioes, @laSextaTV e @historiayvida. Made in @FulbrightSpain @FordhamNYC.</t>
  </si>
  <si>
    <t>http://www.americaneo.com</t>
  </si>
  <si>
    <t>Lola Pastur</t>
  </si>
  <si>
    <t>No entiendo el mundo, pero tengo la suerte de entenderme a mi misma.</t>
  </si>
  <si>
    <t>Abelardo Francisco</t>
  </si>
  <si>
    <t>Los 'Clinton de Cádiz' no quieren saber de Pablo Iglesias  via #squidapp</t>
  </si>
  <si>
    <t>http://go.squidapp.co/n/E4ln5WN</t>
  </si>
  <si>
    <t>Alcalá de Henares</t>
  </si>
  <si>
    <t>De Cartagena, me crié en Tánger, Kenitra,Almería y Madrid. Ingeniería Tª Industrial Electrica en Madrid.Trabajo en Red Electrica de España. NO voto a corruptos.</t>
  </si>
  <si>
    <t>https://profiles.google.com/abelfranc#abelfranc/about</t>
  </si>
  <si>
    <t>José María Algar</t>
  </si>
  <si>
    <t>#loterianavidad2018 Mejor parodia del año. Lotería de Navidad por Pedro Sánchez y Pablo Iglesias. Actriz invitada, Carmen Calvo.</t>
  </si>
  <si>
    <t>https://www.youtube.com/watch?v=EU06dP7rkRY</t>
  </si>
  <si>
    <t>Cádiz (España)</t>
  </si>
  <si>
    <t>https://www.youtube.com/user/josemaria478</t>
  </si>
  <si>
    <t>http://zparodias.blogspot.com.es/2012/04/blog-post.html</t>
  </si>
  <si>
    <t>⚠️ ATENCIÓN ⚠️ Por tareas de acondicionamiento de zonas ajardinadas, la calle Pablo Iglesias permanecerá cortada al #trafico también hoy (miércoles 21) y mañana (jueves 22), de 8.00h a 13.30h. Disculpad las molestias</t>
  </si>
  <si>
    <t>https://pbs.twimg.com/media/Dsg0wBMXoAAp5qm.jpg</t>
  </si>
  <si>
    <t>FeSP UGT Valladolid</t>
  </si>
  <si>
    <t>La FeSP de la UGT de Valladolid es una federación dedicada a defender los derechos e intereses de los servicios públicos y de sus trabajadores en Valladolid.</t>
  </si>
  <si>
    <t>http://www.fespugtvalladolid.org</t>
  </si>
  <si>
    <t>Tomás González</t>
  </si>
  <si>
    <t>Jajajajaaaa... Otra «trama». Que le pregunten al experto y, a la sazón, súper colega de PedroJota, el converso FJL. Yo me apuesto que detrás está o Rubalcaba, o Pablo Iglesias el Joven, o un morito venezolano de Lavapiés. 🤣</t>
  </si>
  <si>
    <t>https://www.elespanol.com/espana/politica/20181121/proximos-cosido-aseguran-solo-reenvio-whatsapp-arriba/354715760_0.html</t>
  </si>
  <si>
    <t>Los nacionalismos europeos secesionistas y excluyentes se acaban con una UE soberana.</t>
  </si>
  <si>
    <t>http://tomassocio.blogspot.com.es/</t>
  </si>
  <si>
    <t>antonio jesus ruano</t>
  </si>
  <si>
    <t>publicitario,agricultor</t>
  </si>
  <si>
    <t>YoSoyDeVOX</t>
  </si>
  <si>
    <t>Morata de Jalón, España</t>
  </si>
  <si>
    <t>Tabarnés YO SOY DE VOX 💪</t>
  </si>
  <si>
    <t>http://www.xn--repblicadeespaa-crb5l.com</t>
  </si>
  <si>
    <t>EL MUNDO Andalucía</t>
  </si>
  <si>
    <t>Los 'Clinton de Cádiz' no quieren saber de Pablo Iglesias. El análisis de Emilia Landaluce.  vía @elmundoes</t>
  </si>
  <si>
    <t xml:space="preserve">Sevilla </t>
  </si>
  <si>
    <t>Perfil de la redacción de El Mundo en Andalucía</t>
  </si>
  <si>
    <t>http://www.elmundo.es/andalucia.html</t>
  </si>
  <si>
    <t>Sandra Caula</t>
  </si>
  <si>
    <t>Pablo Iglesias pide una banca pública. Quizás tenga en mente bancos públicos como los venezolanos, fuente de corrupción, mal servicio y todos quebrados.</t>
  </si>
  <si>
    <t>copista</t>
  </si>
  <si>
    <t>Álvaro</t>
  </si>
  <si>
    <t>La intervención de Pablo Iglesias sobre BANKIA ha sido muy directa y clarificadora. Pedro Sánchez responde con lo que tenía ya escrito y una frase sobre el ICO. En fin.</t>
  </si>
  <si>
    <t>Engendrado en el fuerte de Playmobil. Mi primer beso fue contra el espejo. Fui en chándal a la Universidad. No conozco el pleno empleo. Proyecto de tantas cosas</t>
  </si>
  <si>
    <t>http://jukeboxpretencioso.wordpress.com</t>
  </si>
  <si>
    <t>https://pbs.twimg.com/media/Dse_mDeXcAAb1UH.jpg</t>
  </si>
  <si>
    <t>Sonriele a la vida.</t>
  </si>
  <si>
    <t>Pablo Iglesias hijo de puta</t>
  </si>
  <si>
    <t>Fuenlabrada; Santa Olalla</t>
  </si>
  <si>
    <t>Dios, patria y libertad. No abandones, tendrás un sitio en la cima con los mejores. ⚡️</t>
  </si>
  <si>
    <t>https://instagram.com/p/BkTVIvNDajK/</t>
  </si>
  <si>
    <t>La Universidad de Salamanca y Rosa Villacastín recibirán las Distinciones Pablo Iglesias de @AvilaUgt  vía @epcastillayleon</t>
  </si>
  <si>
    <t>https://www.europapress.es/castilla-y-leon/noticia-universidad-salamanca-rosa-villacastin-recibiran-distinciones-pablo-iglesias-ugt-20181120200346.html</t>
  </si>
  <si>
    <t>Javier</t>
  </si>
  <si>
    <t>Todo número par mayor que 2, puede escribirse como suma de dos números primos, Goldbach dixit. Dame caña en Apalabrados @sadratak</t>
  </si>
  <si>
    <t>http://nuevosdruidas.blogspot.com.es</t>
  </si>
  <si>
    <t>Durian</t>
  </si>
  <si>
    <t>O sea,que Pablo Iglesias ,ahora es de ,derechas. RT @hermanntertsch: Echenique dice que los que quieren azotar a mujeres hasta que sangren votan a la derecha. Grave acusación al jefe.</t>
  </si>
  <si>
    <t>https://twitter.com/hermanntertsch/status/1064915181287936001
https://www.mediterraneodigital.com/espana/aragon/echenique-dice-que-los-maltratadores-de-mujeres-votan-al-pp-c-s-y-a-vox.html</t>
  </si>
  <si>
    <t>El futuro nó está,escrito..💞💕💖</t>
  </si>
  <si>
    <t>George Orwell 67</t>
  </si>
  <si>
    <t>https://ift.tt/2zjsNIm</t>
  </si>
  <si>
    <t>Español. Lo demás, en estos momentos, es accesorio...</t>
  </si>
  <si>
    <t>https://georgeorwell67.blogspot.com/</t>
  </si>
  <si>
    <t>https://pbs.twimg.com/media/DsgsX1CWkAIQm4j.jpg</t>
  </si>
  <si>
    <t>El Cubanisimo60</t>
  </si>
  <si>
    <t>Pablo Iglesias pasa a la acción contra Pedro Sánchez: afea sus viajes y censura su inacción en España ,!!!  Enviado desde @updayESP</t>
  </si>
  <si>
    <t>https://amp.elmundo.es/espana/2018/11/20/5bf407ae46163f14b08b460e.html</t>
  </si>
  <si>
    <t>El Verger, España</t>
  </si>
  <si>
    <t>Soy ese PADRE que no me dejaron ser, todo mi existir va dedicado a mis 4 Hij@s, vean como quería educarles; Cristiano, del Barça y el PSOE Gracias a Dios ,!!!</t>
  </si>
  <si>
    <t>Luna 🇪🇸</t>
  </si>
  <si>
    <t>Los 'Clinton de Cádiz' 🧐 no quieren saber de Pablo Iglesias 🤪🤪  vía @elmundoes</t>
  </si>
  <si>
    <t>Ponferrada, España</t>
  </si>
  <si>
    <t>Barcelona 1968. Guardia Civil retirado @RAGCEasociados Redic @CsBierzoLaciana @CiudadanosCs</t>
  </si>
  <si>
    <t>CarlosLópezMartinez</t>
  </si>
  <si>
    <t>Aranjuez (Madrid)</t>
  </si>
  <si>
    <t>http://fuentedebaco.blogspot.com</t>
  </si>
  <si>
    <t>Javier Ledo</t>
  </si>
  <si>
    <t>Fuerteventura. Islas Canarias.</t>
  </si>
  <si>
    <t>Sapere Aude!!!</t>
  </si>
  <si>
    <t>http://desdefuerteventura.es</t>
  </si>
  <si>
    <t>PPBASS</t>
  </si>
  <si>
    <t>Veras que al final el autor del WhatsApp va a ser Pablo Iglesias... Qué poca vergüenza tienen!!, cómo se ríen de los ciudadanos!!...</t>
  </si>
  <si>
    <t>https://pbs.twimg.com/media/DsgnohRWkAMwJVK.jpg</t>
  </si>
  <si>
    <t>A veces uno sabe de qué lado estar, simplemente viendo quienes están del otro lado...</t>
  </si>
  <si>
    <t>PodemosCastellbisbal</t>
  </si>
  <si>
    <t>Pablo Iglesias: "Nuestro país está ocho puntos por debajo de la media de ingresos del Estado"</t>
  </si>
  <si>
    <t>https://www.youtube.com/attribution_link?a=xf9iRToJFq4&amp;u=%2Fwatch%3Fv%3DdJQamM0sPOk%26feature%3Dshare</t>
  </si>
  <si>
    <t>Castellbisbal, España</t>
  </si>
  <si>
    <t>Pablo Iglesias en el Congreso, pide que los bancos paguen impuestos:  vía @YouTube</t>
  </si>
  <si>
    <t>Espina Tabarnia . Siempre nuestra Reina Doña Sofia</t>
  </si>
  <si>
    <t>Española . Volviendo a casa</t>
  </si>
  <si>
    <t>@mikel</t>
  </si>
  <si>
    <t>A mi me parece muy bien pero hay que ser un hipocrita y asqueroso este chepa de los cojones Pablo Iglesias pasa a la acción contra Pedro Sánchez: afea sus viajes y censura su inacción en España  Enviado desde @updayESP</t>
  </si>
  <si>
    <t>Cadiz</t>
  </si>
  <si>
    <t>Marino</t>
  </si>
  <si>
    <t>Manuel Rocamora</t>
  </si>
  <si>
    <t>Emprendedor. Mis palabras persiguen la justicia</t>
  </si>
  <si>
    <t>ERC critica a PODEMOS, tras el discurso de Pablo Iglesias en Barcelona 🌍 ESQUEMA REPUBLICANO, 📡 IDEALIDAD REPUBLICANA,</t>
  </si>
  <si>
    <t>https://goo.gl/dVfLX3?dvi14=4617963710</t>
  </si>
  <si>
    <t>Mariano P. Vidaller</t>
  </si>
  <si>
    <t>El Registro de Galapagar oculta los datos del chalet millonario de Pablo Iglesias</t>
  </si>
  <si>
    <t>https://www.periodistadigital.com/economia/vivienda/2018/11/19/el-registro-de-galapagar-oculta-los-datos-del-chalet-millonario-de-pablo-iglesias.shtml#.W_UBmFdij_B.twitter</t>
  </si>
  <si>
    <t>🇪🇺🇪🇸Español - Sangre 💯Catalana - ❤ 🇮🇨Canario - PPSorayista</t>
  </si>
  <si>
    <t>RivasVaciamadridForo</t>
  </si>
  <si>
    <t>¡Buenos días! Hoy os contamos la preocupación del vecindario de la avenida de Pablo Iglesias por la velocidad a la que pasan los coches por un cruce muy concurrido en el que, alertan, se han producido ya...</t>
  </si>
  <si>
    <t>https://www.facebook.com/427923557251120/posts/2082465218463604/</t>
  </si>
  <si>
    <t>Rivas Vaciamadrid</t>
  </si>
  <si>
    <t>https://www.facebook.com/Rivasvaciamadridforo</t>
  </si>
  <si>
    <t>Robert Finch</t>
  </si>
  <si>
    <t>La alianza de Pedro y Pablo se resquebraja: Los viajes están muy bien pero se tendrían que haber esforzado</t>
  </si>
  <si>
    <t>Enrique de la Rica</t>
  </si>
  <si>
    <t>¿Cuanto tardará Pablo Iglesias en pasar a formar parte del PSOE?</t>
  </si>
  <si>
    <t>Dean, ESEUNE Business School</t>
  </si>
  <si>
    <t>http://www.eseune.edu/enrique</t>
  </si>
  <si>
    <t>CONCHA ZARAGOZA</t>
  </si>
  <si>
    <t>ZARAGOZA - ESPAÑA</t>
  </si>
  <si>
    <t>Casada, tres hijos. No soporto la mentira ni la hipocresía. Mi lema...Carpe Diem.</t>
  </si>
  <si>
    <t>Inolvidable "Ya hemos pasao" de Celia Gámez. Dedicado especialmente a Pablo Iglesias y Pedro Sánchez, en fechas tan señaladas como éstas.</t>
  </si>
  <si>
    <t>https://www.youtube.com/attribution_link?a=x7zRCqFNiYo&amp;u=%2Fwatch%3Fv%3DijwoGa3Hfmw%26feature%3Dshare</t>
  </si>
  <si>
    <t>Carlos DíazDomínguez</t>
  </si>
  <si>
    <t>`Entreacto en el Apolo´ es mi séptima novela. Antes escribí `La menorah de Petra´, `Tres colores en Carinhall´...</t>
  </si>
  <si>
    <t>http://www.carlosdiazdominguez.com</t>
  </si>
  <si>
    <t>PCA Guillena</t>
  </si>
  <si>
    <t>✅👨‍⚕️SALIDA AUTOBÚS DESDE GUILLENA 10:00 h QUIOSCO VILA 🚌 ¡RESERVA PLAZA! 🔻Acto central de Andalucía: vamos a llenar FIBES. 🗣️ Con Teresa y Maillo👫 Con Alberto Garzón y con Pablo Iglesias 👬 Con Pilar Távora y Pilar González 👭 Con Pepe Chamizo y Mari García 👫</t>
  </si>
  <si>
    <t>https://pbs.twimg.com/media/DsgW8KRWsAEIbRJ.jpg</t>
  </si>
  <si>
    <t>Guillena -Sevilla-</t>
  </si>
  <si>
    <t>Núcleo Manuel Hernández de Guillena. | @elpce</t>
  </si>
  <si>
    <t>IU Guillena 🔻</t>
  </si>
  <si>
    <t>https://pbs.twimg.com/media/DsgW1KKXgAApVVK.jpg</t>
  </si>
  <si>
    <t>Guillena</t>
  </si>
  <si>
    <t>Izquierda Unida en Guillena. La izquierda de Guillena, Torre y Pajanosas.</t>
  </si>
  <si>
    <t>http://iu-guillena.blogspot.com</t>
  </si>
  <si>
    <t>Ricardo Miranda-Naón</t>
  </si>
  <si>
    <t>Los 'Clinton de Cádiz' no quieren saber de Pablo Iglesias  vía @elmundoes el “becario de estos Clinton se apellida Errejón, ojo al dato!</t>
  </si>
  <si>
    <t>Persona mayor.Español por decisión adulta. Entre tener razón y ser feliz elijo ser feliz.</t>
  </si>
  <si>
    <t>https://pbs.twimg.com/media/Dse_iFrXQAA6AEk.jpg</t>
  </si>
  <si>
    <t>IGNACIO</t>
  </si>
  <si>
    <t>Nava del Rey, España</t>
  </si>
  <si>
    <t>Mathu_salen</t>
  </si>
  <si>
    <t>Jubilado en activo.</t>
  </si>
  <si>
    <t>White Vikingo</t>
  </si>
  <si>
    <t>Elecciones Andalucía 2018: Los 'Clinton de Cádiz' no quieren saber de Pablo Iglesias | Andalucía</t>
  </si>
  <si>
    <t>Ateo, Anti-Islámico, Español y del Real Madrid. Me gustan las verdades como puños, odio a la casta política, las puertas giratorias y a la prensa manipuladora</t>
  </si>
  <si>
    <t>JD Alvarez 🇪🇸 🇻🇪</t>
  </si>
  <si>
    <t>https://okdiario.com/espana/2017/06/12/pp-obligara-iglesias-explicar-senado-cuenta-272-000-paraiso-fiscal-1068194#.W_T1zi0uZqu.twitter</t>
  </si>
  <si>
    <t>Si promete quitar a quien + tiene para repartir entre los que - tienen. Lo que haran es quitarte a ti para llenarse los bolsillos ellos. me das unfollow yo tamb</t>
  </si>
  <si>
    <t>Diario de Rivas</t>
  </si>
  <si>
    <t>Preocupación por un cruce "peligroso" en la avenida de Pablo Iglesias de #Rivas por el que los coches pasan a gran velocidad, según residentes en la zona</t>
  </si>
  <si>
    <t>https://www.diarioderivas.es/cruce-peligroso-pablo-iglesias-rivas-atropellos/</t>
  </si>
  <si>
    <t>F. PEÑA.</t>
  </si>
  <si>
    <t>El vuelo de Pablo Iglesias</t>
  </si>
  <si>
    <t>https://pbs.twimg.com/media/DsgRGGNXgAUN6IB.jpg</t>
  </si>
  <si>
    <t>Ronda, España</t>
  </si>
  <si>
    <t>ismael iglesias</t>
  </si>
  <si>
    <t>Josean Dur</t>
  </si>
  <si>
    <t>Olga Urrea #TUCAM el 💰💸 manda</t>
  </si>
  <si>
    <t>Pablo Iglesias se gastó una millonada en un chalé,porque no lo harían sus amigos de Podemos,sabemos son pirrurris y revolucionarios de Starbucks RT @abrahamendieta: No les molesta hipocresía alguna: les molesta vernos en sus restaurantes, que creían solo suyos. Les molesta vernos en aeropuertos y hoteles. Les molesta ver a gente que venimos de abajo, con un papá mesero, en espacios públicos. No lo asumen.</t>
  </si>
  <si>
    <t>https://twitter.com/abrahamendieta/status/1064255172044455936</t>
  </si>
  <si>
    <t>La falla de nuestra época consiste en que sus hombres no quieren ser útiles sino importantes. Churchill</t>
  </si>
  <si>
    <t>Pablo Iglesias defiende el Regimen del 78 🌍 LIBERACIÓN, 🔉 MEDIACIÓN INSTITUCIONAL,</t>
  </si>
  <si>
    <t>https://goo.gl/EGv7dg?xjp79=1248542001</t>
  </si>
  <si>
    <t>LUKMAN HAKIM</t>
  </si>
  <si>
    <t>I liked a @YouTube video  RESPONDIENDO A TER SOBRE LA CASA DE PABLO IGLESIAS - VLOG EN ESPAÑOL</t>
  </si>
  <si>
    <t>http://youtu.be/3e0D9z_t-_M?a</t>
  </si>
  <si>
    <t>INDONESIA</t>
  </si>
  <si>
    <t>JM🇪🇸🇪🇸</t>
  </si>
  <si>
    <t>Tan solo un Español mas y orgulloso de serlo 🇪🇸🇪🇸</t>
  </si>
  <si>
    <t>nomemandescallar5</t>
  </si>
  <si>
    <t>Los 'Clinton de Cádiz' no quieren saber de Pablo Iglesias @elmundoes</t>
  </si>
  <si>
    <t>En búsqueda de los misales perdidos de Catalina. La ultima vez fueron vistos en Andorra. se sospecha que han viajado a 🇨🇭 suiza</t>
  </si>
  <si>
    <t>ernesto leon villamo</t>
  </si>
  <si>
    <t>Me ha gustado un vídeo de @YouTube ( - El nazismo es socialista, cómo Escohotado le da bien a Pablo Iglesias</t>
  </si>
  <si>
    <t>http://youtu.be/uAoujIJmba0?a</t>
  </si>
  <si>
    <t xml:space="preserve">lima,perú </t>
  </si>
  <si>
    <t>nací el 06/02/1996,</t>
  </si>
  <si>
    <t>La ignorancia de Pablo Iglesias es más peligrosa que la financiación de su partido 🔗 Dictadura, 🔗 Vibración,</t>
  </si>
  <si>
    <t>https://goo.gl/6i9iU8?jxg98=9725222871</t>
  </si>
  <si>
    <t>Los ‘Clinton de Cádiz’ no quieren saber de Pablo Iglesias  Leer Ir a la fuente Author: EMILIA LANDALUCE Powered by WPeMatico La entrada Los ‘Clinton de Cádiz’ no quieren saber de Pablo Iglesias aparece primero en Noticias de Sevilla.</t>
  </si>
  <si>
    <t>https://ift.tt/2PIQyUy</t>
  </si>
  <si>
    <t>Los 'Clinton de Cádiz' no quieren saber de Pablo Iglesias  vía @elmundoes hará de Mónica Lewinsky?</t>
  </si>
  <si>
    <t>ERC critica a PODEMOS, tras el discurso de Pablo Iglesias en Barcelona ⚠️ Tipo, ⚠️ DECLARACIÓN DE PRINCIPIOS,</t>
  </si>
  <si>
    <t>https://goo.gl/dVfLX3?dqp65=1162618</t>
  </si>
  <si>
    <t>DLP_Info 🇪🇸</t>
  </si>
  <si>
    <t>Sevilla. Andalucía. España Trabajamos por una 🇪🇸 mejor #EspañaUnaNación #SentidoComún #gotaagota 💧 #PorUnaLeyJusta ⚖️ http://www.dlpespana.es</t>
  </si>
  <si>
    <t>http://www.dlpespana.es</t>
  </si>
  <si>
    <t>Fito Ferreiro Seoane</t>
  </si>
  <si>
    <t>Sois socialistas no para amar en silencio vuestras ideas, ni para recrearos con su grandeza y con el espíritu de justicia que las anima, sino para llevarlas a todas partes", dejó dicho Pablo Iglesias. @psoe</t>
  </si>
  <si>
    <t>https://pbs.twimg.com/media/DsfMo0IXQAAz9Ta.jpg</t>
  </si>
  <si>
    <t>Feminista, activista LGTBI, rockero, aventurero y deportivista. Reportero Gráfico en TVG, Concejal Socialista y orgulloso de mi partido, el PSOE.</t>
  </si>
  <si>
    <t>http://fitoferreiro.com/</t>
  </si>
  <si>
    <t>I liked a @YouTube video  El verdadero Pablo Iglesias</t>
  </si>
  <si>
    <t>http://youtu.be/ovQyfpW1sYE?a</t>
  </si>
  <si>
    <t>Noel_PI</t>
  </si>
  <si>
    <t>"El PSOE y el PP saben hacer estas cosas con cierta clase, pero aquí se aprieta el botón nuclear de filtrar el pantallazo y a ver qué pasa. Ha habido mucho fuego amigo"</t>
  </si>
  <si>
    <t>Lo que leo: http://getpocket.com/users/Noel_PI/… Bueno, una parte. Animus trolandi.</t>
  </si>
  <si>
    <t>Incompatibilidad política entre Pablo Iglesias y Errejón Batalla perdida de Errejón 🌏 MANDATO IMPERATIVO, 🔉 PARTIDO Y FACCIÓN,</t>
  </si>
  <si>
    <t>https://goo.gl/QKamxZ?bjs53=3106407869</t>
  </si>
  <si>
    <t>Pablemos</t>
  </si>
  <si>
    <t>Quiero ver a @Santi_ABASCAL en la Tribuna de Oradores del Congreso de los Diputados llamando a la cara a Pablo Iglesias "Marqués de Galapagar".</t>
  </si>
  <si>
    <t>Español. Contrario al Marxismo económico y al Marxismo Cultural.</t>
  </si>
  <si>
    <t>García Trevijano PUNTUALIZA las palabras de Pablo Iglesias sobre ETA 🔈 LIBERTAD DE PENSAR, 📣 Docilidad,</t>
  </si>
  <si>
    <t>https://goo.gl/Xos4oc?aad94=4869933778</t>
  </si>
  <si>
    <t>Pablo Iglesias: ¿Perdonaron a las familias desahuciadas? La banca tiene que devolver el RESCATE:  vía</t>
  </si>
  <si>
    <t>http://youtu.be/TfEBQC7DhFo?a</t>
  </si>
  <si>
    <t>Austin TX</t>
  </si>
  <si>
    <t>Consulta de Podemos con participación récord: uno de cada tres vota contra Pablo Iglesias e Irene Montero: Las bases de Podemos han ratificado, con un 68,42% (128.300 votos) la permanencia de Pablo Iglesias e Irene Montero en los cargos de secretario…</t>
  </si>
  <si>
    <t>http://dlvr.it/QrkCJC</t>
  </si>
  <si>
    <t>https://pbs.twimg.com/media/Dse8NbfU8AATAIY.jpg</t>
  </si>
  <si>
    <t>Austin, TX</t>
  </si>
  <si>
    <t>Psychic Readings in Austin Texas 73301 call (888) 908-4937 https://www.facebook.com/Psychic-Readings-in-Texas-209420539505018/ https://es-la.facebook.com/Psychic-Readings-in-Texas-209420539505018/ https://m.facebook.com/Psychic-Readings-in-Texas-209420539505018/</t>
  </si>
  <si>
    <t>https://www.facebook.com/Psychic-Readings-in-Texas-209420539505018/</t>
  </si>
  <si>
    <t>Perry el Ornitorrinco</t>
  </si>
  <si>
    <t>Votar a quien colocó a Pablo Iglesias en los medios si es ayudar a la izquierda, votar a Vox no</t>
  </si>
  <si>
    <t>https://www.elespanol.com/espana/20181120/pp-declara-guerra-vox-votarles-ayudar-socialistas/354465099_0.amp.html</t>
  </si>
  <si>
    <t>La clase política actual nos está llevando hacia el abismo.</t>
  </si>
  <si>
    <t>La efusiva reacción de Pablo Iglesias al ver esta comparación con un personaje de 'Los Simpson'</t>
  </si>
  <si>
    <t>https://www.huffingtonpost.es/2018/11/12/la-efusiva-reaccion-de-pablo-iglesias-al-ver-esta-comparacion-con-un-personaje-de-los-simpson_a_23586987/</t>
  </si>
  <si>
    <t>https://pbs.twimg.com/media/Dse4HuQWkAUcW0P.jpg</t>
  </si>
  <si>
    <t>Ataco a un pobre hombre e ignorante como Pablo Iglesias por representar al facismo bajo una mascara comunista ✔️ LA SOCIEDAD FAMILIAR,</t>
  </si>
  <si>
    <t>Somos españoles, somos los mejores</t>
  </si>
  <si>
    <t>Leo por aquí a mucha gente escandalizada porque en España haya diversidad de opiniones. A lo mejor es que el franquismo y la república no fueron como os cuenta Pablo Iglesias. Tenéis que madurar y aceptar que no sabéis casi nada de la Historia del siglo XX. #PuntoFranquistas</t>
  </si>
  <si>
    <t>Mi querida España</t>
  </si>
  <si>
    <t>Los hispanófobos 🎗️ me dicen que debo avergonzarme de ser español 🇪🇸. Yo les respondo: ¡somos españoles, somos los mejores! 💝💝💝</t>
  </si>
  <si>
    <t>Parece que los millennials empiezan a descubrir que la Historia del s.XX no es como se la ha contado gente como Pablo Iglesias. Se sorprenden al descubrir que la guerra civil fue más compleja que un simple enfrentamiento entre “los buenos” y “los malos”. RT @lorena_gmartin: No me puedo creer que todavia haya gente que apoye a Franco, y gente joven, es que no me entra en la cabeza, estoy flipando #PuntoFranquistas</t>
  </si>
  <si>
    <t>https://twitter.com/lorena_gmartin/status/1065004042756259840</t>
  </si>
  <si>
    <t>Gualterio W.</t>
  </si>
  <si>
    <t>Pablo Iglesias. RT @_PaolaMacias_: Dime algo sucio.</t>
  </si>
  <si>
    <t>https://twitter.com/_paolamacias_/status/1032855847788072960</t>
  </si>
  <si>
    <t>https://pbs.twimg.com/media/DlVw5FYXcAI90du.jpg</t>
  </si>
  <si>
    <t>Key West, FL</t>
  </si>
  <si>
    <t>RMCF,RCDLC, CARP,49ers,Lakers,Dodgers.</t>
  </si>
  <si>
    <t>Zibelina 🇪🇸 🇪🇺 🌎</t>
  </si>
  <si>
    <t>La alianza de Pedro y Pablo se resquebraja: "Los viajes están muy bien pero el Gobierno se tendría que haber esforzado más con los presupuestos" "Si el Gobierno no se remangaba iba a ser muy difícil agotar la legislatura"</t>
  </si>
  <si>
    <t>Mundo, Europa, España</t>
  </si>
  <si>
    <t>Ciudadana demócrata no nacionalista interesada por la informacion mundial, defensora de la cultura humanista y lectora permanente. No sigo cuentas protegidas</t>
  </si>
  <si>
    <t>Random gilipollas</t>
  </si>
  <si>
    <t>Tío, no se si se parece más a knekro o a Pablo Iglesias RT @neonnkid:</t>
  </si>
  <si>
    <t>https://twitter.com/neonnkid/status/1064990300005953537</t>
  </si>
  <si>
    <t>https://pbs.twimg.com/media/DsebCCEXoAEjZtq.jpg</t>
  </si>
  <si>
    <t>taxeando</t>
  </si>
  <si>
    <t>Vodka.</t>
  </si>
  <si>
    <t>VAM🇪🇸</t>
  </si>
  <si>
    <t>Debe ser la cuadratura de los círculos</t>
  </si>
  <si>
    <t>https://pbs.twimg.com/media/DsbjdvKXoAAkt3Q.jpg</t>
  </si>
  <si>
    <t>Vicent Aparici. Patrono @Ec_Circular. Licenciado en Quimicas y Master en Gestion Ambiental. Liberal-social. Valenciano y Español. Bievenid@s</t>
  </si>
  <si>
    <t>http://vicentaparici.blogspot.com</t>
  </si>
  <si>
    <t>La Unsuponedora</t>
  </si>
  <si>
    <t>#EquipoFranco Financiación público a comunistas y socialistas ✔Fundación Inst.25M - Podemos 102.960 € ✔Fundación Pablo Iglesias, sólo en el 2018, 235.710 € ✔Fundación Largo Caballero, 500.000 € Y manipulan con ls 150.000€ para digitalizar doc. en ls años 2000 al 2003</t>
  </si>
  <si>
    <t>Madrid - España #AE</t>
  </si>
  <si>
    <t>Machimen</t>
  </si>
  <si>
    <t>La revista Forbes publica que el hombre más rico de España es Amancio Ortega. A lo que hay que añadir que el que vive como el más rico es Pedro Sánchez y que el segundo es Pablo Iglesias. #EspanaSinFiltros #EnterrarElFranquismo #EquipoFranco #STOPIndultos RT @okdiario: Sánchez gasta cerca de un millón de euros para poner a punto la luz y la calefacción de La Moncloa</t>
  </si>
  <si>
    <t>https://twitter.com/okdiario/status/1064963514710794242
https://okdiario.com/espana/2018/11/20/sanchez-gasta-cerca-millon-euros-poner-punto-luz-calefaccion-moncloa-3372360?utm_term=Autofeed&amp;utm_campaign=ok&amp;utm_medium=Social&amp;utm_source=Twitter#Echobox=1542742061</t>
  </si>
  <si>
    <t>PP Rubles</t>
  </si>
  <si>
    <t>Se extraña el personal de la Sexta de que Franco tuviese muchas propiedades. Tiene Pablo Iglesias un casoplón en tres años de ser jefe de un partido de qunta categoría, pues imagina un dictador Jefe de Estado que estuvo 40 años.... poco tenía viendo la comparativa. #EquipoFranco</t>
  </si>
  <si>
    <t>Despacho consistorio.</t>
  </si>
  <si>
    <t>Soy vuestra luz en este mundo de sinvergüenzas. Ya no hay clase ni familias de orden: sólo mugre.</t>
  </si>
  <si>
    <t>🚨 El Gobierno de Sánchez deja sin apenas Guardia Civil a seis municipios de Madrid por vigilar la casa de Pablo Iglesias ➡  EL MISMO QUE SE EMOCIONABA CUANDO APALEABAN POLICIAS...</t>
  </si>
  <si>
    <t>nachcat</t>
  </si>
  <si>
    <t>Pablo Iglesias comenta temas de la Actualidad a 20 N  vía @YouTube</t>
  </si>
  <si>
    <t>https://youtu.be/nyKcBUxQ7Ww</t>
  </si>
  <si>
    <t>Protección animales en Podemos Animalista🐱🏳️‍🌈</t>
  </si>
  <si>
    <t>josegabriel</t>
  </si>
  <si>
    <t>La banca no ha devuelto los 60.000 millones de euros que les prestamos. ¿A ud. le han perdonado ellos sus préstamos? Pablo Iglesias se lo dice desde la tribuna del Congreso de los Diputados.</t>
  </si>
  <si>
    <t>https://www.facebook.com/josegabrielz/posts/1912607788775556</t>
  </si>
  <si>
    <t>Ciudadano del mundo. Doctor (PhD) en Geo e Historia. Investigador. Profe.Nada humano me es ajeno. Cooperante. Proyectos de Desarrollo. Humor cáustico, dicen!</t>
  </si>
  <si>
    <t>http://elregresodejuandemairena.blogspot.com.es/</t>
  </si>
  <si>
    <t>Hemeroteca: 18/01/2016 Mahmmoud Alizadeh, máximo responsable del canal iraní Hispan TV, sería el enlace entre Irán y Podemos</t>
  </si>
  <si>
    <t>http://www.telemadrid.es/noticias/nacional/Pablo-Iglesias-Mahmmoud-Alizadeh-Azinimi-0-1758124199--20160118064730.html</t>
  </si>
  <si>
    <t>panterarosa</t>
  </si>
  <si>
    <t>#EquipoFranco por que no investigan las cuentas de Pedro Sánchez y Pablo Iglesias, que es mas actual... De donde ese casoplon?</t>
  </si>
  <si>
    <t>Luis Millam</t>
  </si>
  <si>
    <t>No hay postulado defendido por el líder de Podemos, desde que en 2014 irrumpiera en la política española, que los (sus) hechos no hayan convertido en papel mojado</t>
  </si>
  <si>
    <t>No hay cosa que haga más daño a una nación como el que la gente astuta pase por inteligente.</t>
  </si>
  <si>
    <t>Pablo Iglesias pasa a la acción contra Pedro Sánchez: afea sus viajes y censura su inacción en España. A este lo que le fastidia es que no cuentan con él para nada. En fin...tanto monta, monta tanto  vía @elmundoes</t>
  </si>
  <si>
    <t>James Canapé</t>
  </si>
  <si>
    <t>El pelo de Pablo Iglesias RT @_PaolaMacias_: Dime algo sucio.</t>
  </si>
  <si>
    <t>https://twitter.com/_PaolaMacias_/status/1032855847788072960</t>
  </si>
  <si>
    <t>Océano de secretos</t>
  </si>
  <si>
    <t>No soy facha, soy español</t>
  </si>
  <si>
    <t>Empieza la pre-campaña electoral... Pablo Iglesias pasa a la acción contra Pedro Sánchez: afea sus viajes y censura su inacción en ...  Compartido desde Discover</t>
  </si>
  <si>
    <t>Español de pura cepa. Amante de España y de sus gentes.</t>
  </si>
  <si>
    <t>Retiquio</t>
  </si>
  <si>
    <t>Pablo Iglesias pasa la acción contra Pedro Sánchez: afea sus viajes y censura su inacción en España</t>
  </si>
  <si>
    <t>http://a.msn.com/01/es-es/BBPULxB?ocid=st</t>
  </si>
  <si>
    <t>Dispuesto a aprender y a dialogar. Respeto a quien no opine como yo. A condición de que no intente obligarme a pensar como él. RT doesn't mean endorsement.</t>
  </si>
  <si>
    <t>https://pbs.twimg.com/media/DsehWzBWwAE4_Kg.jpg</t>
  </si>
  <si>
    <t>Franco falleció hace 43 años: 📌Pedro Sánchez tenía 3 años. 📌Rufián nació 7 años después. 📌Pablo Iglesias nació 3 años más tarde. 📌Ada Colau tenía 1 año. 📌A Errejón le faltaban 8 años para nacer. 📌Willy Toledo tenía 5 años. ¡Y estos son los que piden #EnterrarElFranquismo!</t>
  </si>
  <si>
    <t>https://pbs.twimg.com/media/DsehdlyWwAATrvO.jpg</t>
  </si>
  <si>
    <t>Lo que “La Pasionaria” hizo antes de morir que tanto molesta a Pablo Iglesias y a Podemos  vía @Elmunicipio.es - Por una sociedad de hombres libres</t>
  </si>
  <si>
    <t>https://elmunicipio.es/2017/07/lo-que-la-pasionaria-hizo-antes-de-morir-que-tanto-molesta-a-pablo-iglesias-y-a-podemos/</t>
  </si>
  <si>
    <t>Estrella</t>
  </si>
  <si>
    <t>Pablo Iglesias pasa a la acción contra Pedro Sánchez: le afea sus viajes y censura su inacción en España.  Enviado desde @updayESP</t>
  </si>
  <si>
    <t>https://f7td5.app.goo.gl/6DhrA</t>
  </si>
  <si>
    <t>Disfrutando de una etapa serena y feliz. Siempre dispuesta a seguir con ilusión y esperanza.</t>
  </si>
  <si>
    <t>JCCruz</t>
  </si>
  <si>
    <t>Los políticos presos siguen en la cárcel, Cataluña sigue siendo monárquica y española al igual que Euskadi, Pablo Iglesias no controla ni el CNI ni la RTVE, los independentistas no apoyan los presupuestos y Sánchez convocara elecciones. ¿Y las cesiones del Gobierno Frankenstein?.</t>
  </si>
  <si>
    <t xml:space="preserve">Portugalete, Euskadi, España </t>
  </si>
  <si>
    <t>Mi patria empieza en mi y acaba en ninguna parte.</t>
  </si>
  <si>
    <t>😂😂😂😂 La alianza de Pedro y Pablo se resquebraja: "Los viajes están muy bien pero el Gobierno se tendría que haber esforzado más con los presupuestos"  vía @Periodistadigit</t>
  </si>
  <si>
    <t>Pablo Iglesias pasa a la acción contra Pedro Sánchez: afea sus viajes y censura su inacción en España  vía @elmundoes</t>
  </si>
  <si>
    <t>Túnoeres</t>
  </si>
  <si>
    <t>"Socialista obrero" se llaman. No conocen la vergüenza. El PSOE tumba el impuesto a la banca de Pablo Iglesias</t>
  </si>
  <si>
    <t>http://www.elmundo.es/economia/macroeconomia/2018/11/20/5bf43c46ca474148658b456f.html</t>
  </si>
  <si>
    <t>DYC cola. La evasión del divorciado.</t>
  </si>
  <si>
    <t>https://www.youtube.com/watch?v=6ZwD-ng5-Ng</t>
  </si>
  <si>
    <t>El OPORTUNISMO de Pablo Iglesias PODEMOS 🔈 Revuelta de revuelto, 🔈 Venezuela,</t>
  </si>
  <si>
    <t>https://goo.gl/wPvv1j?ljq89=1164343211</t>
  </si>
  <si>
    <t>Aguilera P francisco</t>
  </si>
  <si>
    <t>http://page.is/aguilera-p-francisc</t>
  </si>
  <si>
    <t>3Domenech</t>
  </si>
  <si>
    <t>pablo iglesias</t>
  </si>
  <si>
    <t>Ingeniero Forestal y difusor profesional del espíritu alcoyano.</t>
  </si>
  <si>
    <t>pablo</t>
  </si>
  <si>
    <t>Pablo Iglesias RT @laurarosba: que clase de enfermo idolatra a un dictador?</t>
  </si>
  <si>
    <t>https://twitter.com/laurarosba/status/1064547223994691584
https://twitter.com/jordijuan3/status/1064259019358040064</t>
  </si>
  <si>
    <t xml:space="preserve">Chiclana </t>
  </si>
  <si>
    <t>la alegría nunca dura un día sin dolor</t>
  </si>
  <si>
    <t>🇫🇷 Σέρχιο Ροδρίγεϑ ن</t>
  </si>
  <si>
    <t>Completa la frase: Pablo Iglesias Turrión es un... — calvo incipiente</t>
  </si>
  <si>
    <t>https://curiouscat.me/sercott29/post/712081566?t=1542748270</t>
  </si>
  <si>
    <t>TeI en la UA. Casi seguro que no te caeré bien -l @GSAlmenara630 - ✝🚜⚒️</t>
  </si>
  <si>
    <t>https://curiouscat.me/sercott29</t>
  </si>
  <si>
    <t>Vaya, que coincidencia. Resulta que Eugenio Pino, número dos de Cosidó y quien encargó el informe falso contra Pablo Iglesias, es un delincuente procesado por fraude procesal, revelación de secretos y falso testimonio.</t>
  </si>
  <si>
    <t>https://www.eldiario.es/politica/concluye-Policia-PP-informacion-Pujol_0_837817404.html</t>
  </si>
  <si>
    <t>Carlos Cotón</t>
  </si>
  <si>
    <t>Pues el autor de la frase “azotaría a Mariló Montero hasta que sangre” es Pablo Iglesias, Secretario General de Podemos. 👇 Nada sospechoso de votar al PP, a C's o a VOX... 🤔</t>
  </si>
  <si>
    <t>https://pbs.twimg.com/media/DseWxvFX4AAy436.jpg</t>
  </si>
  <si>
    <t xml:space="preserve">Alcalá de Henares </t>
  </si>
  <si>
    <t>Miembro del Consejo de Dirección de @UPYD | Portavoz de @UPYDAlcala | Ciudadano comprometido | Colaboro en @UnirPiezas, @AlcalaHoy1 y @codigo_publico</t>
  </si>
  <si>
    <t>José Feijóo Carrasco</t>
  </si>
  <si>
    <t>Pablo Iglesias pasa a la acción contra Pedro Sánchez: afea sus viajes y censura su inacción en España. La fruta casi esta madura; no tardará en caer.</t>
  </si>
  <si>
    <t>Pola de Lena</t>
  </si>
  <si>
    <t>Estudios de Magisterio y de Administración Local</t>
  </si>
  <si>
    <t>Feder Quintana Glez</t>
  </si>
  <si>
    <t>Pablo Iglesias: "Es probable que tengamos elecciones muy pronto"</t>
  </si>
  <si>
    <t>https://okdiario.com/espana/2018/11/20/pablo-iglesias-probable-que-tengamos-elecciones-muy-pronto-3371983#.W_RzzUmogFo.twitter</t>
  </si>
  <si>
    <t>Gran Ca</t>
  </si>
  <si>
    <t>POR ESPAÑA ENTERA...</t>
  </si>
  <si>
    <t>🌴🌴TU Y YO🌴🌴🌴🍁🍁🍁</t>
  </si>
  <si>
    <t>Pablenin el asesor de Narcotraficantes que cobra en paraísos fiscales de Nicolás Maduro que entierra a los disidentes en fosas comunes en las prisiones, se reunió con los golpistas supuestamente para perfilar el golpe de estado y la estrategia en común</t>
  </si>
  <si>
    <t>https://www.elconfidencial.com/espana/cataluna/2017-08-27/junqueras-pablo-iglesias-cena-secreta-roures_1434397/</t>
  </si>
  <si>
    <t>correo electrónico: lunadebenidorm@gmail.com</t>
  </si>
  <si>
    <t>Cagüendios</t>
  </si>
  <si>
    <t>Frito X Jugar fue parido el 18 de agosto de 2009. Muchos muertos, muchas tierras conquistadas y aldeas arrasadas. El orgullo de Gengis Kan, vamos.</t>
  </si>
  <si>
    <t>http://fritoxjugar.nixiweb.com</t>
  </si>
  <si>
    <t>asparuh kotsev</t>
  </si>
  <si>
    <t>Pablo Iglesias: "Nuestro país está ocho puntos por debajo de la media de...  vía @YouTube BRAVO ESE ES Y ASI QUIERO QUE SIGA MI PABLO</t>
  </si>
  <si>
    <t xml:space="preserve">suecia </t>
  </si>
  <si>
    <t>honesto honrado con sentido de humor republicano y de izquierdas fan de Julio Anguita,y Barsa</t>
  </si>
  <si>
    <t>Manuel Arias Muñoz</t>
  </si>
  <si>
    <t>Muy buena la intervención de Pablo Iglesias sobre la devolución de los 60.000 millones€.¿acaso los bancos les perdona las deuda a las personas que no pueden pagarla hipoteca? Los embargan y los desahucian. Tiene que devolver el dinero del rescate.</t>
  </si>
  <si>
    <t>Defendiendo los valores de la izquierda. A mis 90 años ando dando guerra por aquí. Seguro que PODEMOS ✊</t>
  </si>
  <si>
    <t>Pedro Gante</t>
  </si>
  <si>
    <t>FRANCISCO JAVIER IGLESIAS PELÁEZ, ex miembro del grupo terrorista FRAP En 1975 asesinó a dos miembros de las Fuerzas de Seguridad e hirió gravemente a otro, además de realizar otras acciones violentas. Este es el currículum del padre de Pablo Iglesias. ¿ Que se puede esperar ?</t>
  </si>
  <si>
    <t>Español. Afiliado a VOX. Donante de sangre. Lector insaciable de la historia. Amante de la vida. Viajero sin cansancio.</t>
  </si>
  <si>
    <t>David 🏳️‍🌈</t>
  </si>
  <si>
    <t>¿Por qué Pablo Iglesias parece una versión muñeco-cabezón de si mismo?</t>
  </si>
  <si>
    <t>https://pbs.twimg.com/media/DseQWAlWwAABAem.jpg</t>
  </si>
  <si>
    <t>Berserk Rainbow Warrior, werebear. Rolero. 🏳️‍🌈 Físico experimental, PhD student. Entra bajo tu propio riesgo, quédate por las risas.</t>
  </si>
  <si>
    <t>#EnterrarElFranquismo en el chalé que te cagas de Pablo Iglesias e Irene Montero.</t>
  </si>
  <si>
    <t>"Si el Gobierno no se remangaba iba a ser muy difícil agotar la legislatura"</t>
  </si>
  <si>
    <t>Erreuve</t>
  </si>
  <si>
    <t>Consideran a PABLO IGLESIAS, un fuera de serie. El prestigio del Supremo no necesita ayuda, se lo cargan ellos solitos. RT @protestona1: Dice INDA que hay una campaña de Podemos para cargarse el prestigio del Supremo. Todos pensando que la banca les había presionado y provocado el escándalo de las hipotecas y resulta que ha sido @Pablo_Iglesias_ 😂😂😂</t>
  </si>
  <si>
    <t>https://twitter.com/protestona1/status/1064795230682193920</t>
  </si>
  <si>
    <t>Maestra de escuela crónica.</t>
  </si>
  <si>
    <t>Karls Vall</t>
  </si>
  <si>
    <t>Nature lover. Incurable music, yoga &amp; transcendental meditation nerd. Republican.</t>
  </si>
  <si>
    <t>Rafael Herranz</t>
  </si>
  <si>
    <t>Otro enterado pablo iglesias up. Diciendo que el gobierno se pidia haber currado más para que se aprobaran los PGE. En vez de atacar a los indep. Por pedir cosas que un gobierno decente no puede conceder ataca al psoe. Vuelve a las mismas otros tantos miles de votos que perderá</t>
  </si>
  <si>
    <t>monofuma</t>
  </si>
  <si>
    <t>Pablo Iglesias 😖😖😖 Un Señor Malo</t>
  </si>
  <si>
    <t>Valladolid, Rehiyon ng Kanlura</t>
  </si>
  <si>
    <t>ichihoshi muerto abono pa mi huerto</t>
  </si>
  <si>
    <t>https://twitter.com/vivoenunbot</t>
  </si>
  <si>
    <t>Borracho Y Fino</t>
  </si>
  <si>
    <t>Una pena.....tanto @LeticiaDolera como Pablo Iglesias, no predican con el ejemplo. Una verdadera pena que engañen, mientan y tomen por imbéciles a la gente de su alrededor. Sois unos farsantes... RT @ainaclotet: Comunicado de Aina Clotet</t>
  </si>
  <si>
    <t>https://twitter.com/ainaclotet/status/1064790581593935872</t>
  </si>
  <si>
    <t>https://pbs.twimg.com/media/DsbiY6fXQAAsPBc.jpg</t>
  </si>
  <si>
    <t>Alicantino. Hasta las pelotas del pacto del botanic y de los nazionalistas.Che!!!. Ya estoy aquí!!</t>
  </si>
  <si>
    <t>flikxxi</t>
  </si>
  <si>
    <t>Pablo Iglesias: "Si la banca se salta un semáforo en rojo, pagará la multa"  #TalkTextApp ()</t>
  </si>
  <si>
    <t>https://www.elespanol.com/espana/politica/20181110/pablo-iglesias-banca-salta-semaforo-pagara-multa/352215511_0.html
https://goo.gl/JE0fuh</t>
  </si>
  <si>
    <t>Écija, Sevilla, España</t>
  </si>
  <si>
    <t>zen programmer and code geek, I'll code for fun for me and for money for you</t>
  </si>
  <si>
    <t>http://www.redninjastudio.com</t>
  </si>
  <si>
    <t>Luis Miguel</t>
  </si>
  <si>
    <t>Lo de Leticia Dolera es igual que el chalet de Pablo Iglesias. ¿Está mal? No. El problema es que si antes has estado predicando (radicalmente además) todo lo contrario, ahora tienes que asumir que eres un hipócrita.</t>
  </si>
  <si>
    <t>Ingeniero quimico y fiestero a tiempo parcial. Lo de parcial es subjetivo.</t>
  </si>
  <si>
    <t>Recordar solo podeis votar a los que pone Pablo Iglesias, mira donde esta Besanca, Errejon, etc. Que no os engañe esa falsa democracia. Los politicos no quieren lista abierta para poder controlar a todos #ellosnovotanporti</t>
  </si>
  <si>
    <t>"No pagan". Pablo Iglesias presenta la Prop. para que la banca pague imp...  vía @YouTube"Basta de Privilegios,todos iguales ante la Ley,para #EnterrarElFranquismo</t>
  </si>
  <si>
    <t>Piluka</t>
  </si>
  <si>
    <t>Imposible no acordarme de MONEDERO, PABLO IGLESIAS, RUFIAN, OTEGI y demás SINVERGUENZAS al ver esto. ¡DESPIERTA ESPAÑA! ¡DESPIERTA! RT @tovarr: Ya disponible el documental donde podrás conocer verdadera historia de Hugo Chavez Frias. #ChavismoLaPesteDelSigloXXI Ver aquí</t>
  </si>
  <si>
    <t>https://twitter.com/tovarr/status/1007791197514018816
https://youtu.be/CzTtqmc5Uvg</t>
  </si>
  <si>
    <t>https://pbs.twimg.com/media/DfxkvvVVAAER2JZ.jpg</t>
  </si>
  <si>
    <t>3 CHAMPIONS consecutivas, 13 en TOTAL... entiendo tu envidia🙄 ¡HALA MADRID!</t>
  </si>
  <si>
    <t>franjemacos</t>
  </si>
  <si>
    <t>ibiza</t>
  </si>
  <si>
    <t>diego</t>
  </si>
  <si>
    <t>Ese tú se refiere a Pablo Iglesias. RT @DinaBousselham: En Podemos los candidatos y candidatas no los van a elegir los bancos ni los medios de comunicación, los vas a elegir tú. Porque #EllosNoVotanPorTi Sigamos construyamos entre todas esta herramienta por un Madrid al servicio de su gente. Entra en  y vota.</t>
  </si>
  <si>
    <t>https://twitter.com/DinaBousselham/status/1064914555271344130
http://participa.podemos.info</t>
  </si>
  <si>
    <t>https://pbs.twimg.com/media/DsdWIydXcAERb3X.jpg</t>
  </si>
  <si>
    <t>No a Pablo Manuel Mezquitas. De @vox_es.</t>
  </si>
  <si>
    <t>Dennis el Azul</t>
  </si>
  <si>
    <t>Me estoy cansando de ver a Albert Rivera en la tele, ya parece Pablo Iglesias.</t>
  </si>
  <si>
    <t>Drunken Mayor's City</t>
  </si>
  <si>
    <t>Un océano de conocimiento de una pulgada de profundidad. Profesor de informática, jugador y modificador de videojuegos. Evita seguirme que soy un pesado.</t>
  </si>
  <si>
    <t>http://www.youtube.com/RockHumanDelta</t>
  </si>
  <si>
    <t>Luis Leonardo Villalba</t>
  </si>
  <si>
    <t>Pablo Iglesias pasa a la acción contra Pedro Sánchez: afea sus viajes y censura su inacción en España</t>
  </si>
  <si>
    <t>LA TIRANÍA NO PUEDE DERROTAR EL PODER DE LAS IDEAS.</t>
  </si>
  <si>
    <t>Pablo Iglesias quiere un impuesto solidario a los bancos #STOPIndultos #EnterrarElFranquismo #EspañaSinFiltros  vía @YouTube</t>
  </si>
  <si>
    <t>https://youtu.be/kTgJyrzgbao</t>
  </si>
  <si>
    <t>SOLES DE GREDOS ツ</t>
  </si>
  <si>
    <t>La periodista @RosaVillacastin , la Fundación Abulense por el Empleo (@fundabem_avila ) y la Universidad de Salamanca recibirán las XIII Distinciones Pablo Iglesias, que otorga UGT.  Via @Avilared</t>
  </si>
  <si>
    <t>https://avilared.com/not/36301/rosa-villacastin-fundabem-y-la-usal-distinciones-pablo-iglesias/</t>
  </si>
  <si>
    <t>Ávila, Castilla y León</t>
  </si>
  <si>
    <t>Conmunity-Manager • http://www.gredosdaniel.info Blog • http://www.xn--miobjetivosontusojosfotografa-iyc.com/. Insta • https://www.instagram.com/instagramavila/</t>
  </si>
  <si>
    <t>http://www.tuitquedadamicologica.net</t>
  </si>
  <si>
    <t>Pascal Giovanni</t>
  </si>
  <si>
    <t>"No pagan". Pablo Iglesias presenta la Prop. para que la banca pague impuestos</t>
  </si>
  <si>
    <t>https://www.youtube.com/attribution_link?a=h4u4LcXaGrE&amp;u=%2Fwatch%3Fv%3DLsX38asmDmU%26feature%3Dshare</t>
  </si>
  <si>
    <t>Martinique</t>
  </si>
  <si>
    <t>"No pagan". Pablo Iglesias presenta la Prop. para que la banca pague imp...  via @YouTube</t>
  </si>
  <si>
    <t>"Todos contribuirán al sostenimiento de los gastos públicos de acuerdo con su capacidad económica [...]" Art 31.1 CE. El impuesto de solidaridad a la banca es posible y es de justicia. España necesita que la banca deje de tener privilegios y pague lo que debe a la ciudadanía.</t>
  </si>
  <si>
    <t>José Antonio</t>
  </si>
  <si>
    <t>Pablo Iglesias: "Es probable que tengamos elecciones muy pronto"  A VER SI ES VERDAD, ANTES QUE HAGÁIS MÁS DAÑO A ESPAÑA, Y SEA TARDE!!!</t>
  </si>
  <si>
    <t>https://okdiario.com/espana/2018/11/20/pablo-iglesias-probable-que-tengamos-elecciones-muy-pronto-3371983#.W_Rggqd4cbI.twitter</t>
  </si>
  <si>
    <t>Molina de Seg, Marmenor,Madrid</t>
  </si>
  <si>
    <t>Pa qué quiés que vaya? Pa ver cuatro espigas arroyás y pegás a la tierra; pa ver los sarmientos ruines y mustios y esnuas las cepas... TENGO UNA CANSERA!</t>
  </si>
  <si>
    <t>Britovius</t>
  </si>
  <si>
    <t>El Chepa pasa la acción contra El Marido de la Bego: afea sus viajes y censura su inacción en España</t>
  </si>
  <si>
    <t>Madrid - Spain</t>
  </si>
  <si>
    <t>Audentes fortuna iuvat</t>
  </si>
  <si>
    <t>Así es Valladolid</t>
  </si>
  <si>
    <t>La Universidad de Salamanca y Rosa Villacastín recibirán las Distinciones Pablo Iglesias de UGT</t>
  </si>
  <si>
    <t>http://dlvr.it/QrjNQG</t>
  </si>
  <si>
    <t>Fotos, noticias y más de Valladolid (Castilla y León -Spain-)</t>
  </si>
  <si>
    <t>Tribuna de Salamanca</t>
  </si>
  <si>
    <t>🏅 La Universidad de Salamanca recibirá una Distinción Pablo Iglesias de UGT.  @usal</t>
  </si>
  <si>
    <t>http://bit.ly/2OUHFSi</t>
  </si>
  <si>
    <t>https://pbs.twimg.com/media/DseCUCbWwAAE2KT.jpg</t>
  </si>
  <si>
    <t>Primer diario on-line de Salamanca, desde 1998. Sigue la información al minuto de tu ciudad y provincia en nuestra web, versión móvil y app.</t>
  </si>
  <si>
    <t>http://www.tribunasalamanca.com</t>
  </si>
  <si>
    <t>martinezvelazquez</t>
  </si>
  <si>
    <t>Madrid, Madrid</t>
  </si>
  <si>
    <t>española desencantada y muy preocupada</t>
  </si>
  <si>
    <t>Luis Rodriguez</t>
  </si>
  <si>
    <t>Echineque te recuerdo que tú defendiste a Andrés Bodalo concejal de podemos acusado de biolar y pegar una paliza a una embarazada indefensa esto es podemos derigida por ti y Pablo iglesias y los periodistas callados podridos que asco pero qwuien lo pagará serán los trabajadores</t>
  </si>
  <si>
    <t xml:space="preserve">de centro </t>
  </si>
  <si>
    <t>Te vas a meter una hostia, Pablo Iglesias, que todavía no la has visto venir.</t>
  </si>
  <si>
    <t>Pànic Orfila</t>
  </si>
  <si>
    <t>⚪🔼⚡ Hay egos, egos grandes y egos que ni siquiera son capaces de "contenerse" a si mismos! Pablo eMe. Iglesias dijo, hágase la luz, y la luz se hizo, que digo, el universo se hizo!</t>
  </si>
  <si>
    <t>Gijón / Xixón</t>
  </si>
  <si>
    <t>Un grano no hace granero, pero ayuda al compañero. En esta nave en que vamos se necesitan remeros; el puerto es la libertad, el capitán es el Pueblo. L. Pastor</t>
  </si>
  <si>
    <t>http://palencia.cnt.es/2018/10/06/memoria-historica-la-union-de-hermanos-proletarios-uhp-la-revoluci</t>
  </si>
  <si>
    <t>Avilared</t>
  </si>
  <si>
    <t>Rosa Villacastín, Fundabem y la USAL, Distinciones Pablo Iglesias de UGT  @AvilaUgt @UGT_Comunica @UGTCyL</t>
  </si>
  <si>
    <t>https://pbs.twimg.com/media/DseAmqWWkAEr3eR.jpg</t>
  </si>
  <si>
    <t>El periódico digital de Ávila.</t>
  </si>
  <si>
    <t>http://www.avilared.com</t>
  </si>
  <si>
    <t>RTn #Ávila</t>
  </si>
  <si>
    <t>#Ávila La Universidad de Salamanca y Rosa Villacastín recibirán las Distinciones Pablo Iglesias de UGT</t>
  </si>
  <si>
    <t>https://ift.tt/2OTKuTZ</t>
  </si>
  <si>
    <t>Ávila, España</t>
  </si>
  <si>
    <t>Noticias de #Ávila #CyL</t>
  </si>
  <si>
    <t>http://RTn.com</t>
  </si>
  <si>
    <t>Follar sin pagar</t>
  </si>
  <si>
    <t>💖 ¡SEXO GRATIS EN RIVAS-VACIAMADRID! 💖 Mujeres de Rivas (Urbanizacion, Rivas Centro, Rivas Futura, Covibar, Pablo Iglesias, Casco Viejo...) Chicas buscan hombres para citas de amor, pareja, sexo... ❤️💛ENTRA YA:  💛❤️</t>
  </si>
  <si>
    <t>http://CHICASREALES.UK</t>
  </si>
  <si>
    <t>Una persona dijo ¡DESEO FOLLAR! y nos pusimos en marcha 😂Ofrecemos contactos entre particulares para amor, sexo o fantasías ‼️100% ANÓNIMO ‼️</t>
  </si>
  <si>
    <t>http://www.chicasreales.uk</t>
  </si>
  <si>
    <t>jesus hernandez vill</t>
  </si>
  <si>
    <t>¿Cual es la diferencia entre Dictadura y Democracia? Por Pablo Iglesias ...  vía @YouTube</t>
  </si>
  <si>
    <t>https://youtu.be/6fSL8b_gB-Y</t>
  </si>
  <si>
    <t>playas de rosarito bcn</t>
  </si>
  <si>
    <t>Pablo Iglesias: 'De dignidad nada, Marchena ha negociado con el PP presidir el CGPJ”  vía @DebatAlRojoVivo</t>
  </si>
  <si>
    <t>https://goo.gl/ujmtRr</t>
  </si>
  <si>
    <t>En Nuestra Plaza: Pablo Iglesias hoy en el Congreso: "Nuestro país está ocho puntos por debajo de la media de ingresos del Estado" ( los bancos no pagan impuestos, por su cara bonita)</t>
  </si>
  <si>
    <t>https://ift.tt/2qY9nEo</t>
  </si>
  <si>
    <t>Lola A.</t>
  </si>
  <si>
    <t>El divorcio planea en el horizonte esta pareja sentimental. El amor interesado nunca acaba bien... La alianza de Pedro y Pablo se resquebraja: Los viajes están muy bien pero se tendrían que haber esforzado</t>
  </si>
  <si>
    <t>Me interesa todo el mundo que tenga algo que decir sobre temas de actualidad. Ojo a los acosadores de cuentas, reporto y bloqueo.</t>
  </si>
  <si>
    <t>7 de Caballería</t>
  </si>
  <si>
    <t>Pablo Iglesias pasa a la acción contra Pedro Sánchez: afea sus viajes y censura su inacción en España  vía @elmundoes Por fin... en algo coindimos. Los aviones presidenciales no tienen tiempo de enfriar motores y de gobernar = 0. Fíate y verás...!!!</t>
  </si>
  <si>
    <t>Médico de profesión y piloto aviador de devoción. Liberal, luchador y reivindicativo...Harto de la corrupción y la mediocridad política que padecemos.</t>
  </si>
  <si>
    <t>Pablo Iglesias “que los bancos paguen un recargo de solidaridad”</t>
  </si>
  <si>
    <t>http://youtube.com/watch?v=YKE-WHxaJ1I&amp;feature=youtu.be
http://tormenta78.com/2018/11/pablo-iglesias-que-los-bancos-paguen-un-recargo-de-solidaridad/</t>
  </si>
  <si>
    <t>Nohabrapaz</t>
  </si>
  <si>
    <t>Pablo Iglesias no come tres veces al día, como por lo menos seis.</t>
  </si>
  <si>
    <t>Malaga</t>
  </si>
  <si>
    <t>Cuando los malvados te cierran el paso, pica espuelas, empuña las pistolas y afina la puntería.</t>
  </si>
  <si>
    <t>Las 'memeces' de un caradura llamado Pablo Iglesias</t>
  </si>
  <si>
    <t>http://www.periodistadigital.com/politica/partidos-politicos/2018/11/20/las-memeces-de-un-caradura-llamado-pablo-iglesias.shtml</t>
  </si>
  <si>
    <t>Echineque dice qque mas de 12 millones que votan al PP y ciudadanos somos maltrtadore de mujeres cuando su jefe pablo iglesias dijo qque a la mujer habia qque pegarle a la mujer asta que sangre este tenía que estar el manicomio pero los periodistas callados que vergüenza de perio</t>
  </si>
  <si>
    <t>Claudio el espetaó</t>
  </si>
  <si>
    <t>Pablo iglesias gana 127000€:al año y Irene 108000€ al año ,no se lo Q tu ganas de verdad no de pacotilla RT @TeresaRodr_: Esta legislatura hemos tratado de eliminar los privilegios políticos y PSOE, PP y Ciudadanos han votado EN CONTRA. Han votado en contra de eliminar dietas, cesantías y de bajarse el suelo. Que nadie nos hable de privilegios. #DebateCanalSur</t>
  </si>
  <si>
    <t>https://twitter.com/TeresaRodr_/status/1064650761483812864</t>
  </si>
  <si>
    <t>pic.twitter.com/mC2lkrqm6z</t>
  </si>
  <si>
    <t>Hola mi nombre es Claudio, jubilado, 5 hijos, 8 nietos, 80 años de regimen y tieso como la mojama, escribo muy má.</t>
  </si>
  <si>
    <t>Gracias Pablo Iglesias por inventar el Victoria 2</t>
  </si>
  <si>
    <t>josuaj8</t>
  </si>
  <si>
    <t>Pablo Iglesias: "De dignidad nada, Marchena ha negociado con el PP presidir el CGPJ"</t>
  </si>
  <si>
    <t>https://www.lasexta.com/programas/al-rojo-vivo/entrevistas/pablo-iglesias-de-dignidad-nada-marchena-ha-negociado-con-el-pp-presidir-el-cgpj-video_201811205bf4053b0cf2c5d615617124.html</t>
  </si>
  <si>
    <t>El guerrero que lucha por dinero sólo es leal a su bolsillo”.</t>
  </si>
  <si>
    <t>Vulgaris in extremis</t>
  </si>
  <si>
    <t>Ahora si se jodió Sánchez, su patrón ya se encabritó con él y se le aparecerá satanás vestido de rojo (comunista al fin) o es un show para engañarnos otra vez y el coletas tiene un plan siniestro en el que utilizará a su títere en su asalto final al poder..</t>
  </si>
  <si>
    <t>Bizkaia, País Vasco</t>
  </si>
  <si>
    <t>Cs Madrid Vicálvaro</t>
  </si>
  <si>
    <t>Pedro Sánchez manda a Pablo Iglesias a negociar en la cárcel con Junqueras, el indulto a los golpistas. A cambio de sus votos para permanecer en la Moncloa. #STOPIndultos</t>
  </si>
  <si>
    <t>https://pbs.twimg.com/media/Dsd4H81WoAAgv86.jpg</t>
  </si>
  <si>
    <t>vicalvaro, Madrid</t>
  </si>
  <si>
    <t>Perfil oficial de @CsMadridCiudad en distrito Vicálvaro. Partido político surgido de un movimiento de ciudadanos que quiere regenerar la política española</t>
  </si>
  <si>
    <t>https://www.ciudadanos-cs.org/</t>
  </si>
  <si>
    <t>Adri Taylor</t>
  </si>
  <si>
    <t>victor rodriguez de</t>
  </si>
  <si>
    <t>Y los Reyes Magos fueron:Torra,Otegui y Pablo Iglesias. RT @libertaddigital: El terrorismo llega a las aulas: ETA no fue fruto del Franquismo y HB fue clave para que perdurara</t>
  </si>
  <si>
    <t>Alicantino, renovable, con mucho que viajar antes de poder dormir. Aficionado a quejarme. #ProColacao #Concebollista</t>
  </si>
  <si>
    <t>https://twitter.com/libertaddigital/status/1064948968956690432
http://dlvr.it/Qrj8fC</t>
  </si>
  <si>
    <t>. @jennermostoles. @JA_DelgadoRamos. @vox_es. @Pablo_Iglesias #45sindespidos señor. @sanchezcastejon seguirá luchando por #DerogacionLey08_2006 una ley injusta y la cual no respeta el art. 14 de la carta magna que ustedes. @PSOE y anteriormente. @PPopular se lo pasaron por los...</t>
  </si>
  <si>
    <t>Qué bien habla este señor, a ver si algún día le gana unas primarias a Pablo Iglesias... RT @iunida: 📺 "No es que el PSOE haya tirado la toalla en la aprobación de los Presupuestos Generales, es que nunca la ha sostenido con fuerza" @agarzon</t>
  </si>
  <si>
    <t>https://twitter.com/iunida/status/1064946476596391936</t>
  </si>
  <si>
    <t>https://pbs.twimg.com/media/DsdWcF0XQAELDxk.jpg</t>
  </si>
  <si>
    <t>La alianza de Pedro y Pablo se resquebraja: 'Los viajes están muy bien pero el Gobierno se tendría que haber esforzado más con los presupuestos'</t>
  </si>
  <si>
    <t>https://www.periodistadigital.com/periodismo/tv/2018/11/20/pedro-sanchez-pablo-iglesias-presupuestos-elecciones-ferreras-gobierno.shtml#.W_RSupoK5uo.twitter</t>
  </si>
  <si>
    <t>Hoy he entrevistado en Otra Vuelta de Tuerka a Luis María Anson. Me ha dado esta portada de 1990 para probar que en sus tiempos sí se hablaba en ABC de ciertos dictadores. Creo que os gustará la entrevista... 📺 Muy pronto en @tuerka_ovt.</t>
  </si>
  <si>
    <t>https://pbs.twimg.com/media/DsdbOg_WkAAqvQn.jpg</t>
  </si>
  <si>
    <t>Juan José Sánchez Soto</t>
  </si>
  <si>
    <t>El entendimiento PSOE-Podemos se debilita: los socialistas tumban el impuesto a la banca de Pablo Iglesias.</t>
  </si>
  <si>
    <t>https://www.elmundo.es/economia/macroeconomia/2018/11/20/5bf43c46ca474148658b456f.html</t>
  </si>
  <si>
    <t>Derecho y Ciencias Políticas. Liberal y patriota. Nuevas Generaciones del Partido Popular.</t>
  </si>
  <si>
    <t>https://www.facebook.com/juanjose.sanchezsoto.1</t>
  </si>
  <si>
    <t>.@Pablo_Iglesias. @jennermostoles. @susannagriso. @ArtClauzel #45sindespidos. La mayor de gracia que #NosotrosLosSoldados sufrimos no es cumplir 45 años, es tener unos generales que no quieren a su tropa en general y les fastidia que incluso los haya temporalmente. Que vergüenza</t>
  </si>
  <si>
    <t>Gente como Leticia Dolera o Pablo Iglesias nos han demostrado, una con sus despidos y el otro con sus mansiones alejadas de la gente, que el feminismo y el comunismo bolivariano son solamente un gran negocio para aquellos que lo predican y una gran mentira para los demás. FIN</t>
  </si>
  <si>
    <t>ALCBDS_Mediatecas</t>
  </si>
  <si>
    <t>Celebrando el #DíaInternacionalDeLaInfancia con el cuento de Olga de Dios "Rana de tres ojos" en la Mediateca Infantil Pablo iglesias de #Alcobendas</t>
  </si>
  <si>
    <t>https://pbs.twimg.com/media/Dsd03H6WsAAEmLh.jpg</t>
  </si>
  <si>
    <t>Twitter oficial de Mediatecas del Ayuntamiento de Alcobendas. Toda la información municipal de la Gran Ciudad de Alcobendas. http://www.alcobendas.org</t>
  </si>
  <si>
    <t>http://www.alcobendas.org</t>
  </si>
  <si>
    <t>. @RevillaMiguelA. @susannagriso.@jennermostoles. @JA_DelgadoRamos. Que podemos esperar de la justicia española cuando parece ser que. @EU_Commission pase de la situación de #NosotrosLosSoldados vergonzoso. @Pablo_Iglesias convenza. @sanchezcastejon y #DerogacionLey08_2006</t>
  </si>
  <si>
    <t>Demetrio Vázquez</t>
  </si>
  <si>
    <t>La alianza de Pedro y Pablo se resquebraja.  vía @Periodistadigit</t>
  </si>
  <si>
    <t>Gallego, catalán, español. Ex-directivo jubilado. Esposo, padre y abuelo. Si me sigues yo te sigo. No todos los RT comparten mi opinión. No MD.</t>
  </si>
  <si>
    <t>El Imparcial</t>
  </si>
  <si>
    <t>Iglesias pasa al ataque: "El adelanto electoral es muy probable"</t>
  </si>
  <si>
    <t>https://www.elimparcial.es/noticia/195838/nacional/pablo-iglesias-pasa-al-ataque:-el-adelanto-electoral-es-muy-probable.html</t>
  </si>
  <si>
    <t>Diario digital de información general. También en Facebook http://goo.gl/Y76CLM y en YouTube http://goo.gl/JbKp1r</t>
  </si>
  <si>
    <t>http://www.elimparcial.es</t>
  </si>
  <si>
    <t>Pablo Iglesias y Pedro Sánchez.  vía @elmundoes</t>
  </si>
  <si>
    <t>🇪🇸 José A. Barrero 🇪🇸</t>
  </si>
  <si>
    <t>El caso de despido por parte de Leticia Dolera es parecido al caso del chalecito de Pablo Iglesias. Ambos criticaban un comportamiento que al final acabaron por hacer ellos mismos.</t>
  </si>
  <si>
    <t>Cáceres, Extremadura, ESPAÑA</t>
  </si>
  <si>
    <t>IMPERDONABLE</t>
  </si>
  <si>
    <t>http://instagram.com/j7barrero</t>
  </si>
  <si>
    <t>Cs Barbadás</t>
  </si>
  <si>
    <t>Pedro Sánchez y Pablo Iglesias, negocian en la cárcel con los que quisieron romper España #STOPIndultos</t>
  </si>
  <si>
    <t>https://pbs.twimg.com/media/DsdxcMdW0Acgetg.jpg</t>
  </si>
  <si>
    <t>María Ines Cedrón</t>
  </si>
  <si>
    <t>Pablo Iglesias: "La memoria histórica es la gasolina del futuro"  vía @YouTube</t>
  </si>
  <si>
    <t>Diego González 🇪🇺</t>
  </si>
  <si>
    <t>Dolera despide embarazadas, Pablo Iglesias dice que azotaría a Mariló Montero hasta hacerla sangrar y Podemos pide la libertad de Andrés Bódalo, condenado a cárcel por agredir a una embarazada, pero el machista eres tú por no decir sí Bwana a cualquier gilipollez de Barbijaputa</t>
  </si>
  <si>
    <t>Españolazo, liberaloide, madridista, escribo un blog sobre Fronteras que, inconcebiblemente, tiene lectores. Digo tantos tacos como estupideces.</t>
  </si>
  <si>
    <t>http://fronterasblog.com</t>
  </si>
  <si>
    <t>Diario de Ávila</t>
  </si>
  <si>
    <t>Las Distinciones Pablo Iglesias de UGT ya tienen premiados</t>
  </si>
  <si>
    <t>http://www.diariodeavila.es/noticia/ZF673C294-DAEC-1A8C-B82478E8D0594D08/las-distinciones-pablo-iglesias-de-ugt-ya-tienen-premiados?utm_source=dlvr.it&amp;utm_medium=twitter</t>
  </si>
  <si>
    <t>https://pbs.twimg.com/media/DsduZCkUcAAw6Ty.jpg</t>
  </si>
  <si>
    <t>Twitter oficial de diariodeavila.es</t>
  </si>
  <si>
    <t>http://www.diariodeavila.es</t>
  </si>
  <si>
    <t>https://trib.al/8JLUj7T</t>
  </si>
  <si>
    <t>Pasalo y Divulga</t>
  </si>
  <si>
    <t>la izquierda está formada solo por dos tipos de personas: los imbéciles –la masa zurdosa- y los que pretenden vivir de los imbéciles –Pablo Iglesias y su mansión-. #Masby ►  … vía @Masby1</t>
  </si>
  <si>
    <t>Somos una agencia libre de divulgación de noticias. Si nos sigues, divulgaremos las noticias que nos envies.</t>
  </si>
  <si>
    <t>WEIM T</t>
  </si>
  <si>
    <t>Fallaras y Pablo Iglesias publicitando su lobby de izquierda . Viendo este vidio te das cuenta que su hijo seria un maltratador y violador ..segun lo que cuenta ...</t>
  </si>
  <si>
    <t>pic.twitter.com/cI33A5Pxwu</t>
  </si>
  <si>
    <t>España es mi País , mi nación , mi patria . No es la corrupción , ni la puta izquierda que quiere destruirlo .</t>
  </si>
  <si>
    <t>Persona que se llama Mateo</t>
  </si>
  <si>
    <t>Me tengo que disfrazar de Pablo Iglesias para un trabajo, ya voy por la peluca y parezco una chica</t>
  </si>
  <si>
    <t>Zaun, Freljord, da igual...</t>
  </si>
  <si>
    <t>Juego liga de leyendas y Overwatch, me gusta la piña con pizza al igual que mi maestro de biología y estoy aprendiendo a dibujar sin tutoriales.</t>
  </si>
  <si>
    <t>UGT Castilla y León #UGTTeDefiende</t>
  </si>
  <si>
    <t>Unión General de Trabajadores de Castilla y León</t>
  </si>
  <si>
    <t>http://www.ugtcyl.es</t>
  </si>
  <si>
    <t>ÁngeleS  Rendó🤗🤔</t>
  </si>
  <si>
    <t>Pablo Iglesias pasa a la acción contra Pedro Sánchez: afea sus viajes y censura su inacción en España  vía @elmundoes Tanto monta( Pedro y Pablo)</t>
  </si>
  <si>
    <t>Cuando la sonrisa sea tu única moneda de cambio,volverás a ser un ángel,con alas de libertad. ESPAÑOLA por la gracia de DIOS🇪🇸 y a quién no le guste que l</t>
  </si>
  <si>
    <t>Carmen</t>
  </si>
  <si>
    <t>Pero..... Que hace este tío,creo que por atrás se cree presidente, cada día que pasa me gusta menos,haber lo que ocurre en el 2019 alo mejor lo vemos en la Moncloa,🤔🤔</t>
  </si>
  <si>
    <t>Pablo Iglesias tiene en sus manos la continuidad de Pedro Sánchez y el gobierno de España ➡️ URGENTE, 🔔 NoTeLoPierdas,</t>
  </si>
  <si>
    <t>https://goo.gl/w1kgrt?gdr33=2665909776</t>
  </si>
  <si>
    <t>La prueba está en Maduro Venezuela Errejon Monedero Echineque y Pablo iglesias quieren ser como Maduro ellos a vivir de millonarios tener al pueblo en la miseria y hanbre como en Venezuela que tiene al pueblo de esclavos y el de millonario sin comentario</t>
  </si>
  <si>
    <t>JoséManuel Barcelona</t>
  </si>
  <si>
    <t>PSOE Piedras Albas (CC)</t>
  </si>
  <si>
    <t>"Sois socialistas no para amar en silencio vuestras ideas, ni para recrearos con su grandeza y con el espíritu de justicia que las anima, sino para llevarlas a todas partes". Pablo Iglesias Posse, fundador del @PSOE y de la @UGT_Comunica</t>
  </si>
  <si>
    <t>Piedras Albas, España</t>
  </si>
  <si>
    <t>Agrupación Socialista de Piedras Albas (Cáceres)</t>
  </si>
  <si>
    <t>Los comunistas dicen todo para el pueblo pero sin el pueblo dicen que los ciudadanos pasen a convertirse en un rebaño satisfechos de esclavos eso es el comunismo de Errejon Echineque y Pablo iglesias y Monedero ellos a vivir como millonarios pero los que les votan esclavos</t>
  </si>
  <si>
    <t>Félix Arana Roza</t>
  </si>
  <si>
    <t>Tres Cantos</t>
  </si>
  <si>
    <t>Obrero, tipógrafo, linotipista, mecánico, electricista, técnico de redes, hoy jubilado</t>
  </si>
  <si>
    <t>http://www.unidadcivicaporlarepublica.es/</t>
  </si>
  <si>
    <t>https://www.msn.com/es-es/noticias/espana/pablo-iglesias-pasa-la-acci%C3%B3n-contra-pedro-s%C3%A1nchez-afea-sus-viajes-y-censura-su-inacci%C3%B3n-en-espa%C3%B1a/ar-BBPULxB?li=BBpmbhJ&amp;ocid=mailsignout</t>
  </si>
  <si>
    <t>Tameiga</t>
  </si>
  <si>
    <t>Pedro Sanchez a través de Pablo Iglesias ha negociado los PGE en la carcel con los golpistas a ¿ cambio de indultos ? #STOPIndultos</t>
  </si>
  <si>
    <t>https://pbs.twimg.com/media/DsdnxbeXgAAyhv1.jpg</t>
  </si>
  <si>
    <t>“ Solo hace falta que los buenos no hagan nada para que el mal triunfe". Burke.</t>
  </si>
  <si>
    <t>Marty McFly</t>
  </si>
  <si>
    <t>Cinturón de Kuiper</t>
  </si>
  <si>
    <t>Tweets del futuro son muy oscuros...</t>
  </si>
  <si>
    <t>http://www.PPTeDejamosSinUnEuro.com</t>
  </si>
  <si>
    <t>Me ha gustado un vídeo de @YouTube ( - Pablo Iglesias comenta temas de la Actualidad a 20 N).</t>
  </si>
  <si>
    <t>http://youtu.be/nyKcBUxQ7Ww?a</t>
  </si>
  <si>
    <t>Magdalena</t>
  </si>
  <si>
    <t>El Registro de Galapagar oculta los datos del chalet millonario de Pablo Iglesias  vía @Periodistadigit</t>
  </si>
  <si>
    <t>https://www.periodistadigital.com/economia/vivienda/2018/11/19/el-registro-de-galapagar-oculta-los-datos-del-chalet-millonario-de-pablo-iglesias.shtml</t>
  </si>
  <si>
    <t>Podemos Quesada</t>
  </si>
  <si>
    <t>Magnifica comparecencia de Pablo Iglesias Así sí se puede.</t>
  </si>
  <si>
    <t>Quesada, Jaen, Andalucia</t>
  </si>
  <si>
    <t>Sociologia Polit CLM</t>
  </si>
  <si>
    <t>Pablo Iglesias pasa a la acción contra Pedro Sánchez: afea sus viajes y censura su inacción en España. Pedro Sánchez no descarta el adelanto electoral pero recuerda a los ministros que la decisión es suya. Leer Más:</t>
  </si>
  <si>
    <t>Castilla-La Mancha, España</t>
  </si>
  <si>
    <t>Colegio Oficial de Ciencias Políticas y Sociología de Castilla-La Mancha</t>
  </si>
  <si>
    <t>http://www.colpolsocclm.es</t>
  </si>
  <si>
    <t>Pablo Iglesias: "El Gobierno se habría podido currar más que salgan los PGE, no podemos hacerlo todo". 😂😂😂😂 Pedro y Pablo la pareja de payasos de moda....</t>
  </si>
  <si>
    <t>Canal Dirtenefe</t>
  </si>
  <si>
    <t>Pablo Iglesias: 'El Gobierno se habría podido currar más que salgan los PGE, no podemos hacerlo todo'  vía @DebatAlRojoVivo</t>
  </si>
  <si>
    <t>https://goo.gl/LzGjhZ</t>
  </si>
  <si>
    <t>Pablo Iglesias y Pedro Sánchez han pactado con golpistas y secesionostas. No les importa los españoles, solo el poder #StopIndultos</t>
  </si>
  <si>
    <t>https://pbs.twimg.com/media/DsdkY6gWkAEA3d8.jpg</t>
  </si>
  <si>
    <t>No dejemos que el doctor Pedro Sánchez con Pablo Iglesias y sus amigos golpistas pisoteen nuestra democracia y España #StopIndultos</t>
  </si>
  <si>
    <t>https://pbs.twimg.com/media/DsdkY4PWkAA3Sve.jpg</t>
  </si>
  <si>
    <t>rocio</t>
  </si>
  <si>
    <t>Repite conmigo @sanchezcastejon Voy a convocar elecciones. Me estoy cargando España. Mi gobierno es un fracaso. Yo no gobierno, gobierna Pablo Iglesias. #StopIndultos</t>
  </si>
  <si>
    <t>https://pbs.twimg.com/media/DsdjyTPXcAEi4yK.jpg</t>
  </si>
  <si>
    <t>Salvaterra de Miño, España</t>
  </si>
  <si>
    <t>UN IGLESIAS DERROTADO LE CUENTA A FERRERAS QUE ELLOS HAN HECHO TODO EL TRABAJO. La alianza de Pedro y Pablo se resquebraja: 'Los viajes están muy bien pero el Gobierno se tendría que haber esforzado más con los presupuestos'.</t>
  </si>
  <si>
    <t>http://www.periodistadigital.com/periodismo/tv/2018/11/20/pedro-sanchez-pablo-iglesias-presupuestos-elecciones-ferreras-gobierno.shtml</t>
  </si>
  <si>
    <t>jose miguel</t>
  </si>
  <si>
    <t>Lo de Leticia Dolera es muy fuerte. ¿Qué será lo siguiente? ¿Pablo Iglesias en un chalet de la sierra? ¿Echenique no dando de alta a su asistente? ¿Sánchez volando en Falcon a Valladolid mientras denuncia el Cambio Climático? ¿Espinar especulando con una VPO?</t>
  </si>
  <si>
    <t>autónomo y comerciante</t>
  </si>
  <si>
    <t>Markuslevel</t>
  </si>
  <si>
    <t>Espectacular video de Pablo Iglesias tocando el temazo de su vida! Nunca en la vida lo hubiera imaginado! Lo toca a la perfección...</t>
  </si>
  <si>
    <t>Amo España, su bandera, sus paisajes, sus comidas y su gente. Unidos Podemos con la farsa de Unidos Podemos.Sigo al q me siga🚶Hago montajes con políticos 🇪😎</t>
  </si>
  <si>
    <t>Dr. Strange</t>
  </si>
  <si>
    <t>Pablo Iglesias: “La gente está harta del espectáculo que estamos dando” ¿Y que esperabas?  vía @elpais_espana</t>
  </si>
  <si>
    <t>https://elpais.com/politica/2018/11/14/actualidad/1542191299_860667.html?id_externo_rsoc=TW_CC</t>
  </si>
  <si>
    <t>Marino de Aguas turbulentas, y pescador en los caudalosos ríos de las izquierdas de salón y maestros del embudo...</t>
  </si>
  <si>
    <t>Pablo Iglesias pasa a la acción contra Pedro Sánchez: afea sus viajes y censura su inacción en España. Podemos empieza la campaña electoral para echar humo sobre los graves problemas de liderazgo y credibilidad que sufre en su partido.  vía @elmundoes</t>
  </si>
  <si>
    <t>Son muy buenas las explicaciones que está dando Pablo Iglesias sobre los presupuestos que quiere sacar adelante el Gobierno.</t>
  </si>
  <si>
    <t>XOSE LIEIRO</t>
  </si>
  <si>
    <t>LIEIRO</t>
  </si>
  <si>
    <t>http://www.geo.ya.com/xose36/</t>
  </si>
  <si>
    <t>Más de 13.000 firmas en 24h piden a .@ahorapodemos @CiudadanosCs @PSOE y @PPopular que prohíban el uso de perros en cacerías y tipifiquen como DELITO el maltrato a animales salvajes. Firma la petición #CazaEsViolencia aquí 👉</t>
  </si>
  <si>
    <t>http://www.bit.ly/CazaEsViolencia</t>
  </si>
  <si>
    <t>https://pbs.twimg.com/media/DsdgxOhXQAAH3WG.jpg</t>
  </si>
  <si>
    <t>El Zorro de la Camorca</t>
  </si>
  <si>
    <t>Pablo Iglesias "Los viajes al extranjero están muy bien, pero primero hay que trabajar en casa para lograr los apoyos" podría decir tb , que censura la inacción de Sánchez. "las ayudas al extranjero están muy bien, pero primero hay que ayudar a los de casa para lograr los votos"</t>
  </si>
  <si>
    <t>trabajador y mucha constancia</t>
  </si>
  <si>
    <t>Danda</t>
  </si>
  <si>
    <t>Quien va en contra de los bancos es tu amigo. Aunque tuviera un altar a Satanás en su casa, Pablo Iglesias nos conviene, me temo.</t>
  </si>
  <si>
    <t>Entre Frankfurt y Asturias</t>
  </si>
  <si>
    <t>Traductor de series y videojuegos. Izquierdista pesado. En internet desde 1996. Fui batería de rock progresivo: https://play.spotify.com/album/7ops7tph6jMMwsjVejFxbw Aviso: RETUITEO MUCHO</t>
  </si>
  <si>
    <t>http://www.jugadoresdefortuna.com</t>
  </si>
  <si>
    <t>Eduardo García Serrano le da un repaso a Pablo Iglesias ¡De antología!  vía @YouTube</t>
  </si>
  <si>
    <t>https://youtu.be/ixEpKFp5fKw</t>
  </si>
  <si>
    <t>https://pbs.twimg.com/media/Dsdc4GhWoAUiZJN.jpg</t>
  </si>
  <si>
    <t>1Eduardo García Serrano le da un repaso a Pablo Iglesias ¡De antología!  vía @YouTube</t>
  </si>
  <si>
    <t>Domingo Morales Sant</t>
  </si>
  <si>
    <t>Ganas dinero bitcoin</t>
  </si>
  <si>
    <t>http://bitclub.network/domingo5</t>
  </si>
  <si>
    <t>https://pbs.twimg.com/media/DsdcRDRXgAM9r69.jpg</t>
  </si>
  <si>
    <t>Eduardo García Serrano le da un repaso a Pablo Iglesias ¡De antología!  vía @YouTube 1</t>
  </si>
  <si>
    <t>Pablo Iglesias pasa a la acción contra Pedro Sánchez: afea sus viajes y censura su inacción en España. Tú ves Sánchez tenías el enemigo en casa y creías que era la derecha que también.  vía @elmundoes</t>
  </si>
  <si>
    <t>💚Vale💚</t>
  </si>
  <si>
    <t>#Cristina El Fenómeno Los otros días Pablo Iglesias me decía que la lectura del Príncipe cambiaba radicalmente cuando se tienen que asumir responsabilidades políticas en un marco institucional.</t>
  </si>
  <si>
    <t>Soy como quiero ser .. Volve Cris!!!⚘</t>
  </si>
  <si>
    <t>http://www.MMLPQTP.com.ar</t>
  </si>
  <si>
    <t>Coquelinismo</t>
  </si>
  <si>
    <t>Pablo Iglesias azotaría a una periodista hasta que sangrase, Leticia Dolera descartó a Aina Clotet por estar embarazada, en ERC escogen a las mujeres por el tamaño de sus tetas... Pero luego el machista eres tú por no apoyar a ese feminismo rancio e hipócrita. Te tienes que reír.</t>
  </si>
  <si>
    <t>Normalmente mi casa, ESPAÑA</t>
  </si>
  <si>
    <t>Coquelín es mi pastor y si me sigues, pasa a ser también el tuyo. Si no eres lo suficientemente gilipollas como para entender mi ironía es tu problema.</t>
  </si>
  <si>
    <t>El Diestro #ED👍🇪🇸</t>
  </si>
  <si>
    <t>La Real Federación Española de Caza responde a la última manipulación de Pablo Iglesias</t>
  </si>
  <si>
    <t>https://www.eldiestro.es/2018/11/la-real-federacion-espanola-de-caza-responde-manipulacion-de-pablo-iglesias/</t>
  </si>
  <si>
    <t>El diario referente de la derecha española, editado por la sociedad civil</t>
  </si>
  <si>
    <t>http://www.eldiestro.es</t>
  </si>
  <si>
    <t>Mery |-/ 🌈 -120 para ver a tøp</t>
  </si>
  <si>
    <t>Fantástico eh @ALCBDS_Ayto !!! en la sala de estudio del Pablo Iglesias no se puede estudiar de forma decente porque hay obras que suenan en toda la sala. Además, el techo es tan pobre que la lluvia resuena a la mínima. No se puede presumir de servicio si las cosas no estan bien</t>
  </si>
  <si>
    <t>Madrid 🌈Mx2❤🌈</t>
  </si>
  <si>
    <t>Magisterio UAM📚 Soy bisexual porque me gusta Twenty Øne Pilots y Daenerys Targaryen. También me gusta la DESPERA2 @merysadd ❌Fight like a GRRL❌ 21.</t>
  </si>
  <si>
    <t>http://instagram.com/mery_fm12</t>
  </si>
  <si>
    <t>Mar 🇪🇸🇪🇸</t>
  </si>
  <si>
    <t>"ULTIMA HORA"Pablo Iglesias se divorcia y pasa a la acción contra Pedro Sánchez: afea sus viajes y censura su inacción en España. #Eleccionesgenerales #lasilenciosaCat</t>
  </si>
  <si>
    <t>Amante de los animales Defiende la unidad de España 🇪🇸🇪🇸🇪🇸</t>
  </si>
  <si>
    <t>Voy a traducir un artículo de Pablo Iglesias sobre la familia tradicional al mongol antiguo</t>
  </si>
  <si>
    <t>Darwin De La Encina</t>
  </si>
  <si>
    <t>Joseluu!</t>
  </si>
  <si>
    <t>EL VÍDEO QUE PABLO IGLESIAS NO QUIERE QUE VEAS  vía @YouTube Exprópiese! (no apto para sensibles)...gente así en un parlamento? No, gracias.</t>
  </si>
  <si>
    <t>Byałistok, Poland 🇵🇱 Cortita y al pie ⚽️</t>
  </si>
  <si>
    <t>Kn gjm</t>
  </si>
  <si>
    <t>Nuyfxst</t>
  </si>
  <si>
    <t>Pablo Iglesias pasa a la acción contra Pedro Sánchez: afea sus viajes y censura su inacción en España  via @elmundoes</t>
  </si>
  <si>
    <t>Peaky</t>
  </si>
  <si>
    <t>"banco santander" No olvidéis la Caja de Ingenieros y la hipoteca de Pablo Iglesias e Irene Montero, están como locos por aplicar la retroactividad, pero no es por ellos, no ¡¡¡¡</t>
  </si>
  <si>
    <t>El hundimiento' podemita precipita la caída del 'sanchismo' Pablo Iglesias pasa a la acción contra Pedro Sánchez: afea sus viajes y censura su inacción en España  vía @elmundoes</t>
  </si>
  <si>
    <t>Financiación de Podemos y Pablo Iglesias. 🤔🇪🇸 🔈 KOW PARTIDOS IN-EXISTENTES, SOCIEDAD EMPRESARIAL, LO CIVIL Y LO POLITICO, DEMOCRACIA MATERIAL, Prescripción, efecto emergente, LEALTAD POR LA LEALTAD, judicial, Libertad, Caracas,</t>
  </si>
  <si>
    <t>pic.twitter.com/NBJvalpIfD</t>
  </si>
  <si>
    <t>La hipocresía podemita llevó a la formación de Pablo Iglesias a entrar en la componenda de la Justicia.</t>
  </si>
  <si>
    <t>https://pbs.twimg.com/media/DsdTVCyWkAYEP2e.jpg</t>
  </si>
  <si>
    <t>ramonr</t>
  </si>
  <si>
    <t>pablo iglesias, creo que para ser imparcial sería que la elección de los jueces del supremo un 50% los elijieran los partidos políticos con el % de escaños que tuviesen en la acualidad y el otro 50% los elijieran los jueces.</t>
  </si>
  <si>
    <t>Financiación de Podemos y Pablo Iglesias. 🤔🇪🇸 🔔 8UP SOCIEDAD EMPRESARIAL, LoMásLeído, VenezuelaLibre, Democracy, Obediencia, PROBABLE REPÚBLICA, ESQUEMA REPUBLICANO, REACCIÓN ANTICIPADA, CLASES DE LIBERTAD, ACCIÓN CRUCIAL, LIBERTAD DE PENSAR,</t>
  </si>
  <si>
    <t>pic.twitter.com/LVeW9jcS2q</t>
  </si>
  <si>
    <t>Pablo Iglesias: “Es probable que tengamos elecciones muy pronto” 📢 BHF LaNaciónEsVenezuela, LIBERTAD DE PENSAR, Dictadura, CRISIS DE ESTADO, EL PROBLEMA Y LA SOLUCIÓN, IDEALIDAD REPUBLICANA, PRINCIPIO DE MEDIACIÓN, Política,</t>
  </si>
  <si>
    <t>https://okdiario.com/espana/2018/11/20/pablo-iglesias-probable-que-tengamos-elecciones-muy-pronto-3371983?utm_term=Autofeed&amp;utm_campaign=ok&amp;utm_medium=Social&amp;utm_source=Twitter#Echobox=1542727079</t>
  </si>
  <si>
    <t>Juan Alvite</t>
  </si>
  <si>
    <t>Pelos de punta... Pablo Iglesias: "La memoria histórica es la gasolina del futuro"  vía @YouTube</t>
  </si>
  <si>
    <t>Podemista, Madrileño, Otaku orgulloso, apasionado de La Música y convencido demócrata a pesar de nuestra patética democracia.</t>
  </si>
  <si>
    <t>Pedro Sánchez, Pablo Iglesias, Susana Díaz, Teresa Rodríguez ¿Qué opinan sobre los incumplimientos de Sánchez a sus votantes? ¿Cuál es la opinión de su partido sobre el incumplimiento de Sánchez a sus votantes?</t>
  </si>
  <si>
    <t>Elías 37042 🇪🇸</t>
  </si>
  <si>
    <t>Podemos vive una gran mentira, son CASTA como el resto d partidos, q no te engañen. Dicen estar contra los bancos y Pablo Iglesias compra un chalet d 690.000€ firmando hipoteca con uno. Dicen estar contra la GC y el chalet de Pablo Iglesias es vigilado las 24 h del día por la GC</t>
  </si>
  <si>
    <t>Ovetus 🇪🇸</t>
  </si>
  <si>
    <t>Por la libertad así como por la honra se puede y debe aventurar la vida, y, por el contrario, el cautiverio es el mayor mal que puede venir a los hombres.</t>
  </si>
  <si>
    <t>http://www.dnidigital.es</t>
  </si>
  <si>
    <t>🌎ECDLC🌍SOFT🌏</t>
  </si>
  <si>
    <t>https://okdiario.com/espana/2018/11/20/pablo-iglesias-probable-que-tengamos-elecciones-muy-pronto-3371983#.W_QuYXvVRA4.twitter</t>
  </si>
  <si>
    <t>In my olive tree</t>
  </si>
  <si>
    <t>Día Mundial de la Población | UN - Ωω | Telecom | Κοῖος Koĩos | NATO | 武士 | Brave | ExeBat | IniVbs | 😏🤔⚽️🔗</t>
  </si>
  <si>
    <t>El Confidencial</t>
  </si>
  <si>
    <t>"Que la serie de Leticia Dolera verse sobre una embarazada con problemas laborales convierte esta acusación en el caso más sangrante de 'consejos vendo que para mí no tengo' desde que Pablo Iglesias se compró el chalet"</t>
  </si>
  <si>
    <t>https://blogs.elconfidencial.com/cultura/tribuna/2018-11-20/leticia-dolera-aina-clotet-despido-embarazo_1657338/?utm_source=twitter&amp;utm_medium=social&amp;utm_campaign=ECDiarioManual</t>
  </si>
  <si>
    <t>moderador(@)elconfidencial.com</t>
  </si>
  <si>
    <t>El diario de los lectores influyentes como tú. Más noticias en http://facebook.com/elconfidencial.</t>
  </si>
  <si>
    <t>Pablo Iglesias: “Es probable que tengamos elecciones muy pronto” ☑️ V4O LIBERTAD DE PENSAR, ACCIÓN DE LIBERTAD, ESCEPTICISMO REPUBLICANO, Configuración, BUSCANDO LA SOLUCIÓN, DOCTRINA OFICIAL, REINO DE LA FALSEDAD, ESTAR LIBRE,</t>
  </si>
  <si>
    <t>Lauren</t>
  </si>
  <si>
    <t>¿Ya no se quiere la parejita😘😘😘😘? Pablo Iglesias pasa a la acción contra Pedro Sánchez: afea sus viajes y censura su inacción en España  vía @elmundoes</t>
  </si>
  <si>
    <t>Cegata y sorda 🙃</t>
  </si>
  <si>
    <t>Mi nombre es Joe Black 🇪🇸🇪🇸😁</t>
  </si>
  <si>
    <t>Pablo Iglesias pasa a la acción contra Pedro Sánchez: "Los viajes al extranjero están muy bien, pero primero hay que trabajar en casa para lograr los apoyos". #EquiparacionYa #AFAPOL @jusapol #LaSilenciosaCat #SablazoAutónomos #EleccionesYa</t>
  </si>
  <si>
    <t>Mejor no digo lo que pienso, pero sí pienso lo que digo, piijosos no gracias y no es grima por los piojos precisamente.</t>
  </si>
  <si>
    <t>CS17</t>
  </si>
  <si>
    <t>Pablo Iglesias se compra un chalé de un gritón de euros, Leticia Dolera despide de una serie feminista a una actriz por estar embarazada...sólo me falta que @joaquinarte salga diciendo que es sevillista y me borro de Twitter... #SeñorLlévamePronto</t>
  </si>
  <si>
    <t>Ciudad del Betis</t>
  </si>
  <si>
    <t>Yo mataré monstruos por ti...</t>
  </si>
  <si>
    <t>Luis de Cairo</t>
  </si>
  <si>
    <t>Nuestra generación tendrá que arrepentirse, no tanto de la maldad de la gente perversa como del pasmoso silencio de la gente buena.</t>
  </si>
  <si>
    <t>Financiación de Podemos y Pablo Iglesias. 🤔🇪🇸 🔗 QZN NoTeLoPierdas, Libertad, ESTAR LIBRE, ACCIÓN CRUCIAL, PARADOJAS DE LA LIBERTAD, SINTESIS ADEFÉSICA, POTENCIA REPUBLICANA, Insumisión, Estructura de estructurar, ADVERTENCIA SOBRE LA LIBERTAD,</t>
  </si>
  <si>
    <t>pic.twitter.com/ijYEiPTvoL</t>
  </si>
  <si>
    <t>Pablo Iglesias: “Es probable que tengamos elecciones muy pronto” 🌍 D25 POR LA REPÚBLICA CONSTITUCIONAL, LA SOCIEDAD FAMILIAR, Disputa de disputar, SOLUCIÓN = ACCIÓN, VÍNCULO SUBSTANCIAL, EL DRAMA DE LA LIBERTAD, REINO DEL OPORTUNISMO,</t>
  </si>
  <si>
    <t>Dani Gago</t>
  </si>
  <si>
    <t>Los trabajadores de Airbus, en huelga por el despido de 17 compañeros, siguen la intervención de Pablo Iglesias en el programa de la sexta Al rojo vivo, que este hace desde su campamento frente a la fabrica. Illescas, noviembre de 2018.</t>
  </si>
  <si>
    <t>https://pbs.twimg.com/media/DsdM0akW0AMtlLl.jpg</t>
  </si>
  <si>
    <t>vallekas</t>
  </si>
  <si>
    <t>Fotógrafo, vallekano. No pasarán.</t>
  </si>
  <si>
    <t>https://disoimages.com</t>
  </si>
  <si>
    <t>Robtte</t>
  </si>
  <si>
    <t>Se acabo el baile. Pablo Iglesias pasa a la acción contra Pedro Sánchez: afea sus viajes y censura su inacción en España  vía @elmundoes</t>
  </si>
  <si>
    <t>Valencia. España</t>
  </si>
  <si>
    <t>La lengua(👅) es el corazon del cuerpo.</t>
  </si>
  <si>
    <t>p</t>
  </si>
  <si>
    <t>🔴👉"Mugriento chepa Iglesias" no te mereces que guardias civiles custodien tu casa....</t>
  </si>
  <si>
    <t>https://www.esdiario.com/863352693/Un-audio-robado-hunde-a-Pablo-Iglesias-cocteles-molotov-contra-la-Guardia-Civil.html?fbclid=IwAR2q6ARj-SaaDV8LskDgADzsaCBuXO02gTyNOfI2s73n2bL25f8liXC-0UI</t>
  </si>
  <si>
    <t xml:space="preserve"> Madrid</t>
  </si>
  <si>
    <t>AntonioLglam</t>
  </si>
  <si>
    <t>Amante de la autenticidad , me gusta trazar puentes entre la gente, el flamenco , pasear por las ramblas de noche... Catalán aragonés.Técnico de camara de tv .</t>
  </si>
  <si>
    <t>Leticia Dolera ha dado una contundente lección de feminismo contra la cultura patriarcal. A ver si solo van a ser hombres como Pablo Iglesias, Ramón Espinar o Echenique los que hagan lo contrario de lo que predican en sus sermones.</t>
  </si>
  <si>
    <t>OKDIARIO</t>
  </si>
  <si>
    <t>Pablo Iglesias: “Es probable que tengamos elecciones muy pronto”</t>
  </si>
  <si>
    <t>El sitio de los inconformistas. Dirigido por @eduardoinda. Síguenos en Facebook: http://facebook.com/okdiario.</t>
  </si>
  <si>
    <t>http://okdiario.com/</t>
  </si>
  <si>
    <t>Pablo Iglesias: ¿Perdonaron los BANCOS las deudas a las familias desahuciadas?:  vía @YouTube</t>
  </si>
  <si>
    <t>http://youtu.be/c-hfo_gOL6Q?a</t>
  </si>
  <si>
    <t>Si todavía te crees a Pablo Iglesias igual sí que mereces una paguita.</t>
  </si>
  <si>
    <t>enfermeras valencia</t>
  </si>
  <si>
    <t>Pablo Iglesias pasa a la acción contra Pedro Sánchez: "Los viajes al extranjero están muy bien, pero primero hay que trabajar en casa para lograr los apoyos"</t>
  </si>
  <si>
    <t>malvarrosa-valencia-marzo-2015</t>
  </si>
  <si>
    <t>Liliana Lopez Foresi</t>
  </si>
  <si>
    <t>De Jorge Alemán El Fenómeno Cristina Los otros días Pablo Iglesias me decía que la lectura del Príncipe cambiaba radicalmente cuando se tienen que asumir responsabilidades políticas en un marco...</t>
  </si>
  <si>
    <t>https://www.facebook.com/liliana.lopezforesi/posts/10209882927348760</t>
  </si>
  <si>
    <t>Comunicadora Libre</t>
  </si>
  <si>
    <t>http://www.lilianalopezforesi.com.ar</t>
  </si>
  <si>
    <t>LauraMR</t>
  </si>
  <si>
    <t>Lo de Pablo Iglesias y el boli es una maniobra subliminal para que veamos que él tambien es pobre.</t>
  </si>
  <si>
    <t>https://pbs.twimg.com/media/DsdHSTGXoAA17gW.jpg</t>
  </si>
  <si>
    <t xml:space="preserve"> Estudiante de Historia. !A por el último tramo! “Quien olvida su historia está condenado a repetirla”.- Jorge Agustín Nicolás Ruiz de Santayana.</t>
  </si>
  <si>
    <t>Ramón</t>
  </si>
  <si>
    <t>Pablo Iglesias: "De dignidad nada, Marchena ha negociado con el PP presidir el CGPJ" PARA LA RAE: NEGOCIAR: Tratar asuntos públicos o privados procurando su mejor logro</t>
  </si>
  <si>
    <t>“En nombre de la tolerancia, tendríamos que reivindicar el derecho a no tolerar a los intolerantes". Karl Popper</t>
  </si>
  <si>
    <t>http://Instagram.com/ramonMLGA</t>
  </si>
  <si>
    <t>SISUMISU</t>
  </si>
  <si>
    <t>LA SEXTA TV | Pablo Iglesias: "De dignidad nada, Marchena ha negociado con el PP presidir el CGPJ"  #FelizMartes</t>
  </si>
  <si>
    <t>AMO A LOS ANIMALES SU LIBERTAD.LEER NOVELA HISTORICA,PERO ANTE TODO, DEFENDER LO JUSTO REPUBLICANA-PARTICIPO EN @MiercolesRepub1 SALUD Y REPÚBLICA ❤️💛💜</t>
  </si>
  <si>
    <t>Guapito de cara</t>
  </si>
  <si>
    <t>-Leticia Dolera, avezada feminista, despidiendo a una actriz embarazada por estarlo. -Rouco Varela en un superpiso en contra del voto de pobreza de la Iglesia. -Pablo Iglesias vivendo en un casoplón como mil veces criticó. -Etc Por sus actos los conoceréis.</t>
  </si>
  <si>
    <t>Boga</t>
  </si>
  <si>
    <t>Fan del chándal con mocasines y los calcetines blancos. Arreglado pero informal. ¿Que por qué estoy en eDarling? Porque la belleza está en el interior.</t>
  </si>
  <si>
    <t>Pablo Iglesias: "Es probable que tengamos elecciones muy pronto" -</t>
  </si>
  <si>
    <t>https://noticierouniversal.com/actualidad/pablo-iglesias-es-probable-que-tengamos-elecciones-muy-pronto/</t>
  </si>
  <si>
    <t>http://disq.us/t/2mz157t</t>
  </si>
  <si>
    <t>“No Pagan. Háganlo por España”. Pablo Iglesias presenta la Prop. para que la banca pague impuestos.</t>
  </si>
  <si>
    <t>https://jotapov.com/2018/11/20/no-pagan-haganlo-por-espana-pablo-iglesias-presenta-la-prop-para-que-la-banca-pague-impuestos/</t>
  </si>
  <si>
    <t>https://pbs.twimg.com/media/DsdF06pUwAAuvb9.jpg</t>
  </si>
  <si>
    <t>El Gobierno debe trabajar más para sacar adelante los presupuestos. España necesita que puedan comenzar a revertirse los recortes y se invierta en políticas que mejoren la vida de la gente. La pasividad del Gobierno a este respecto no es aceptable.</t>
  </si>
  <si>
    <t>Pedro Sánchez, Pablo Iglesias, Susana Díaz, Teresa Rodríguez ¿prometieron o juraron cumplir la constitución? ¿Cuál es la opinión de ustedes sobre la constitución? ¿Cuál es la opinión de sus partidos políticos sobre la constitución?</t>
  </si>
  <si>
    <t>Delivery Combo</t>
  </si>
  <si>
    <t>El Fenómeno Cristina Los otros días Pablo Iglesias me decía que la lectura del Príncipe cambiaba radicalmente cuando se tienen que asumir responsabilidades políticas en un marco institucional. Lo que vuelve...</t>
  </si>
  <si>
    <t>https://www.facebook.com/349256168587094/posts/1068072236705480/</t>
  </si>
  <si>
    <t>Posadas, Misiones, Argentina</t>
  </si>
  <si>
    <t>Es un conjunto de comunidades que reúne a los sitios web y las redes sociales en un solo núcleo. Vinculo con https://www.facebook.com/deliverycombo/</t>
  </si>
  <si>
    <t>http://www.paginasmaestras.blogspot.com</t>
  </si>
  <si>
    <t>Héctor G. Ortúñez</t>
  </si>
  <si>
    <t>Bilbao, por supuesto.</t>
  </si>
  <si>
    <t>Pese a haberlo intentado con todas mis fuerzas, nunca he logrado transformarme en un SUPERSAIYAN. Una vez, casi me cago intentándolo.</t>
  </si>
  <si>
    <t>https://www.youtube.com/channel/UC6rp8Kb63-eLWN8rvE4U30A</t>
  </si>
  <si>
    <t>OdinT707</t>
  </si>
  <si>
    <t>Financiación de Podemos y Pablo Iglesias. 🤔🇪🇸</t>
  </si>
  <si>
    <t>Tabarnes, Español y buena gente. Política, Ciencia, Tecnología.</t>
  </si>
  <si>
    <t>La entente entre Pedro Sánchez y Pablo Iglesias comienza a derrumbarse</t>
  </si>
  <si>
    <t>https://trib.al/rWdKwhb</t>
  </si>
  <si>
    <t>Pablo Iglesias comenta temas de la Actualidad a 20 N  via @YouTube</t>
  </si>
  <si>
    <t>Joseluis</t>
  </si>
  <si>
    <t>Bòdalo, culpable de agredir a una embarazada. De Podemos. “Azotaría a esa mujer hasta hacerla sangrar” Pablo Iglesias, lider de Podemos. RT @elespanolcom: Echenique asegura que quienes "patean a mujeres indefensas" son "posibles votantes de PP, Cs y Vox"</t>
  </si>
  <si>
    <t>Vendrán las iguanas vivas a morder a los hombres que no sueñan....</t>
  </si>
  <si>
    <t>EuropaPress Congreso</t>
  </si>
  <si>
    <t>Pablo Iglesias cree "probable" que haya elecciones generales "muy pronto" y reprocha a Pedro Sánchez que haga tantos viajes internacionales en vez de esforzarse más en sacar los #Presupuestos: "Primero hay que arreglar lo de casa"</t>
  </si>
  <si>
    <t>Cuenta oficial de la agencia de noticias Europa Press en el Congreso</t>
  </si>
  <si>
    <t>http://www.europapress.es</t>
  </si>
  <si>
    <t>laSexta</t>
  </si>
  <si>
    <t>VÍDEO | Pablo Iglesias: "De dignidad nada, Marchena ha negociado con el PP presidir el CGPJ" @DebatAlRojoVivo</t>
  </si>
  <si>
    <t>http://atres.red/jt8fe4</t>
  </si>
  <si>
    <t>Todo el contenido de laSexta en nuestro perfil, en http://laSexta.com y en http://facebook.com/laSexta</t>
  </si>
  <si>
    <t>http://www.lasexta.com</t>
  </si>
  <si>
    <t>I added a video to a @YouTube playlist  "No pagan". Pablo Iglesias presenta la Prop. para que la banca pague</t>
  </si>
  <si>
    <t>http://youtu.be/LsX38asmDmU?a</t>
  </si>
  <si>
    <t>ᴘᴇᴅʀɪᴛᴏ ᴇʟ ɢᴏʟᴘɪꜱᴛᴀ</t>
  </si>
  <si>
    <t>Fake / Parodia</t>
  </si>
  <si>
    <t>Doctor Fraude // Odio Eterno a la Democracia y a la Separación de Poderes // Antiespañol por los cuatro costados.</t>
  </si>
  <si>
    <t>Esta semana Pablo Iglesias entrevista a la escritora y periodista Cristina Fallarás en Otra Vuelta de Tuerka. 📺 Podréis verlo el viernes en PúblicoTV.</t>
  </si>
  <si>
    <t>pic.twitter.com/6MBRXPqaKt</t>
  </si>
  <si>
    <t>Joe McGaha</t>
  </si>
  <si>
    <t>.@Pablo_Iglesias en el #Pleno defendiendo la necesidad de u…</t>
  </si>
  <si>
    <t>https://www.pscp.tv/w/bsQQUjMwMjgzNTd8MWRSS1pPb0J5THpHQif5WIRM2fsv_nbZbys3f83WxJ1KF7ZHG2_iTeV3xKzY?t=4m18s</t>
  </si>
  <si>
    <t>Claremont, CA</t>
  </si>
  <si>
    <t>Screenwriter, Producer, Marketing Manager, Singer http://illusivefilmsnetwork.com/joe-mcgaha/</t>
  </si>
  <si>
    <t>https://www.imdb.com/name/nm8961961/</t>
  </si>
  <si>
    <t>Pablo Iglesias comenta temas de la Actualidad a 20 N:  vía @YouTube</t>
  </si>
  <si>
    <t>Eduardo Arraiza</t>
  </si>
  <si>
    <t>Sito llñll</t>
  </si>
  <si>
    <t>Los coletas bolívarianos cada vez son menos. Se les ve el plumero a leguas.</t>
  </si>
  <si>
    <t>J.Bravo no se retiene Cumplid pronto la sentencia pero llamarnos traidores nadie podra en esta tierra Mientes tu vil pregonero y aquel a quien obedezcas Cas.Esp</t>
  </si>
  <si>
    <t>Jorge Hernández Buja</t>
  </si>
  <si>
    <t>El caso de Leticia Dolera se suma al chalet de Pablo Iglesias, la adicción al trabajo de Cifuentes o la intolerancia de Pedro Sánchez con las sociedades pantallas en confirmar la sabiduría del refranero popular español: "Dime de qué presumes..."</t>
  </si>
  <si>
    <t>Coruscant</t>
  </si>
  <si>
    <t>Director creativo y profesor. Vamos, pintamonas y cuentacuentos con títulos. Siempre escaso de tiempo. 😭</t>
  </si>
  <si>
    <t>Pablo Iglesias desafía a Rajoy a que convoque elecciones PODEMOS 🔗 Mandato imperativo, 📢 Democracia,</t>
  </si>
  <si>
    <t>https://goo.gl/kgupDT?nax42=7936916164</t>
  </si>
  <si>
    <t>Esta forma de adoctrinamiento en Vena, de la "Extremaizquierda Española" o mejor dicho del PCE, bajo el Manto de IU-PODEMOS, de Pablo Iglesias y Alberto Garzón, no lo he visto ni en Cuba. Parece la formación grupos Terroristas. Ellos dirán de "Liberación Nacional".</t>
  </si>
  <si>
    <t>pic.twitter.com/NcsS2Bi3xd</t>
  </si>
  <si>
    <t>Javi 🇪🇸</t>
  </si>
  <si>
    <t>#RodeaAmazon Que aquí os dejo un enlace, por si queréis comparar en AMAZÓN, los libros del chepas.</t>
  </si>
  <si>
    <t>https://www.amazon.es/Libros-Pablo-Iglesias-Turri%C3%B3n/s?ie=UTF8&amp;page=1&amp;rh=n%3A599364031%2Cp_27%3APablo%20Iglesias%20Turri%C3%B3n</t>
  </si>
  <si>
    <t>Afiliado a VOX. Podemitas e independentistas: Block directo, salvo que vivan de mis impuestos, ahí...CERA.</t>
  </si>
  <si>
    <t>https://youtu.be/10GbLcvIVTQ</t>
  </si>
  <si>
    <t>Audio del adoctrinamiento de las bases contra el estado y sus instituciones para hacer su propia guerra, pero por suerte sólo se lo ha creído el por que de todo esto nada de nada, por eso han contratado a los islamistas.</t>
  </si>
  <si>
    <t>Alberto Pugilato</t>
  </si>
  <si>
    <t>-Leticia Dolera despide a una mujer por estar embarazada -Pablo Iglesias compra un casoplón -Echenique paga en B su asistenta -Ramón Espinar especula con un piso -Irene Montero denuncia un poema -Javier Bardem denuncia el capitalismo -No es hipocresía, sois unos cuñados.</t>
  </si>
  <si>
    <t>Nacionalsocialista, músico, fitness, pagano y animalista.</t>
  </si>
  <si>
    <t>http://pugilato.bandcamp.com</t>
  </si>
  <si>
    <t>Enrique Horcajuelo fue fusilado en 1942 en Talavera de la Reina, buen vídeo con todas las explicaciones que Pablo Iglesias nos da junto a la familia de Enrique en el día de la exhumación.</t>
  </si>
  <si>
    <t>https://pbs.twimg.com/media/DsYo6dlXQAI6SVm.jpg</t>
  </si>
  <si>
    <t>José Miguel Lardiés</t>
  </si>
  <si>
    <t>Un repaso #EleccionesAndaluzas: -Casado en AVE -Pedro Sánchez en su vicio continuo de nuevo milloneti: en Avión -Pablo Iglesias 🤭 este que ni se acerque que no lo quieren ni ver. -Rivera en su coche. Se que voto bien por detalles como estos, ¿y tu?</t>
  </si>
  <si>
    <t>https://okdiario.com/espana/2018/11/19/casado-viajo-andalucia-ave-rivera-coche-sanchez-avion-privado-9-000-euros-3366935</t>
  </si>
  <si>
    <t>Torla, Huesca, Aragon, España</t>
  </si>
  <si>
    <t>🤔 Si Twitter lo carga el diablo, ¿somos diablillos? 😈</t>
  </si>
  <si>
    <t>Just watch me - Vive la Tabarnie Libre</t>
  </si>
  <si>
    <t>Insert bio here</t>
  </si>
  <si>
    <t>Hoy x Hoy Venezuela</t>
  </si>
  <si>
    <t>Pablo Iglesias y Zapatero refuerzan acuerdos para seguir ayudando a Maduro. El negocio petrolero les interesa y no están dispuestos a renunciar a todas las contrataciones otorgadas por…</t>
  </si>
  <si>
    <t>https://www.instagram.com/p/BqZ2V7eHV1b/?utm_source=ig_twitter_share&amp;igshid=1gvg8ndygi2n4</t>
  </si>
  <si>
    <t>Noticias de Venezuela</t>
  </si>
  <si>
    <t>Maribel Real</t>
  </si>
  <si>
    <t>Benetússer, España</t>
  </si>
  <si>
    <t>Dejar de mirar para empezar a ver</t>
  </si>
  <si>
    <t>pepe blasco</t>
  </si>
  <si>
    <t>“Me parece una vergüenza y un espectáculo, los españoles no son tontos”, ha criticado Rivera que ha recordado que PP y PSOE han elegido a los vocales del Poder Judicial “con el apoyo de Pablo Iglesias”.</t>
  </si>
  <si>
    <t>https://gaceta.es/espana/rivera-lamenta-que-psoe-y-pp-hayan-querido-tomar-el-pelo-a-los-espanoles-20181120-1023/</t>
  </si>
  <si>
    <t>Navalmoral de la Mata</t>
  </si>
  <si>
    <t>Se prudente y respeta; no digas algo que no te guste que te digan a tí</t>
  </si>
  <si>
    <t>P.Viruega</t>
  </si>
  <si>
    <t>http://page.is/R.Torres</t>
  </si>
  <si>
    <t>Alberto Rodríguez, Ana Marcello y Pablo Iglesias en la asamblea de trabajadores en huelga de Airbus. Illescas, noviembre de 2018.</t>
  </si>
  <si>
    <t>https://pbs.twimg.com/media/DscwH9BXoAEsxKK.jpg</t>
  </si>
  <si>
    <t>Eddie</t>
  </si>
  <si>
    <t>Esta Pablo Iglesias haciendo de cuentacuentos en mi pueblo y temo por mis amigos aficionados al airsoft.</t>
  </si>
  <si>
    <t>You should´ve killed me when you had the chance, because now i´m back and i´m gonna kill you and your whole fucking team</t>
  </si>
  <si>
    <t>El Mundo España</t>
  </si>
  <si>
    <t>Sección 'España' del diario El Mundo. #EleccionesGenerales #Politica #Tribunales #Seguridad #CasaReal #Partidos #Debate #Corrupcion #UltimaHora</t>
  </si>
  <si>
    <t>http://www.elmundo.es/espana.html</t>
  </si>
  <si>
    <t>Barrufet Fet</t>
  </si>
  <si>
    <t>Que Leticia Dolera despida a una mujer embarazada es como si Pablo Iglesias se fuera a vivir a una mansión o como si Rufián siguiera en el Congreso después de que se declarara la independencia.</t>
  </si>
  <si>
    <t>El nostre poble és el país on tot es pot fer. Si tu barrufes jo també.</t>
  </si>
  <si>
    <t>Natacrespo@40</t>
  </si>
  <si>
    <t>En @elconfidencial: Las tres razones por las que fallarán quienes dan por amortizado a Pablo Iglesias</t>
  </si>
  <si>
    <t>https://blogs.elconfidencial.com/espana/caza-mayor/2018-11-19/pablo-iglesias-amortizado_1653682/?utm_source=twitter&amp;utm_medium=social&amp;utm_campaign=BotoneraWeb</t>
  </si>
  <si>
    <t>https://www.facebook.com/pages/Fans-de-Nata-Crespo/175113679168414?ref=stream</t>
  </si>
  <si>
    <t>Pepito García</t>
  </si>
  <si>
    <t>Catalunya, Espanya, Europa</t>
  </si>
  <si>
    <t>🇪🇺</t>
  </si>
  <si>
    <t>https://ift.tt/2zhhJvu</t>
  </si>
  <si>
    <t>Los amos de la noticia</t>
  </si>
  <si>
    <t>Se descubre que Pablo Iglesias e Iñigo Errejón mantuvieron relaciones sexuales en varias ocasiones #ComunismoSi #DarYRecibir , pincha en el enlace para saber más</t>
  </si>
  <si>
    <t>https://goo.gl/images/RMnL2n</t>
  </si>
  <si>
    <t>https://pbs.twimg.com/media/Dscs_7IWwAAI498.jpg</t>
  </si>
  <si>
    <t>Washington, DC</t>
  </si>
  <si>
    <t>Las noticias más frescas y verídicas desde 1945</t>
  </si>
  <si>
    <t>Club de los Viernes</t>
  </si>
  <si>
    <t>Podemos se instala en el desencanto: "A muchos círculos ya no viene casi nadie" "Han intentado vestir el santo de rollo político, pero al final se habla de liberados, posiciones y pasta, lo de toda la p*ta vida"</t>
  </si>
  <si>
    <t>Movimiento en defensa de las libertades civiles, el derecho de propiedad y el Estado limitado. #CdV administracion@elclubdelosviernes.org</t>
  </si>
  <si>
    <t>http://www.elclubdelosviernes.org</t>
  </si>
  <si>
    <t>Toni Gomez</t>
  </si>
  <si>
    <t>Tècnic RR.HH, ex jugador d'handbol i boig pel pàdel, De Cornella de Llobregat i ara masnoví d'adopció.</t>
  </si>
  <si>
    <t>Lo de Leticia Dolera es un poco como si Pablo Iglesias viviera en un lujoso chalet de la sierra madrileña o Javier Bardem disfrutara en California de los beneficios del capitalismo mientras aquí despotrica de él, ¿os imagináis?</t>
  </si>
  <si>
    <t>Aqmarropa</t>
  </si>
  <si>
    <t>"Que la serie de Dolera verse precisamente sobre una embarazada con problemas laborales convierte esta acusación en el caso más sangrante de 'consejos vendo que para mí no tengo' desde que Pablo Iglesias se compró el chalet"... RT @juansotoivars: Mi columna de hoy versa, claro, sobre Leticia Dolera.</t>
  </si>
  <si>
    <t>https://twitter.com/juansotoivars/status/1064856333676093441
https://blogs.elconfidencial.com/cultura/tribuna/2018-11-20/leticia-dolera-aina-clotet-despido-embarazo_1657338/</t>
  </si>
  <si>
    <t>Tengo una camiseta del Primark que dice que soy fashion blogger</t>
  </si>
  <si>
    <t>La Voz del Tajo</t>
  </si>
  <si>
    <t>VÍDEO | Pablo Iglesias en el homenaje a Horcajuelo en #Talavera: "La #memoriahistórica es la gasolina del futuro"</t>
  </si>
  <si>
    <t>https://www.lavozdeltajo.com/noticia/35254/nuestra-gente/video--pablo-iglesias-en-el-homenaje-a-horcajuelo-en-talavera:-la-memoria-historica-es-la-gasolina-del-futuro.html</t>
  </si>
  <si>
    <t>https://pbs.twimg.com/media/DscqJ35WkAAzuhq.jpg</t>
  </si>
  <si>
    <t>San Francisco 21. TALAVERA</t>
  </si>
  <si>
    <t>Desde 1978, cuarenta años de información local, provincial y regional de nuestros pueblos, Talavera, Toledo y Castilla-La Mancha. ESPAÑA.</t>
  </si>
  <si>
    <t>http://www.lavozdeltajo.com</t>
  </si>
  <si>
    <t>Carlos M. Mira</t>
  </si>
  <si>
    <t>En uno de sus pocos momentos de brillantez televisiva, Pablo Iglesias dijo que Albert Rivera no era ni de izquierdas ni de derechas. Que Albert Rivera era de lo que hiciera falta. Una definición bastante acorde a nuestros tiempos y perfectamente aplicable al caso Dolera</t>
  </si>
  <si>
    <t xml:space="preserve">Andalucía </t>
  </si>
  <si>
    <t>Periodista o algo así. Me gusta ser mediocre, duermo más tranquilo. Socio 28.071 del @Atleti Me puedes leer de vez en cuando en @ImagActualidad</t>
  </si>
  <si>
    <t>Chino de China</t>
  </si>
  <si>
    <t>Pablo Iglesias, hablando muy indignao, con un boli en la mano, en su Cadena. Sí, hoy también.</t>
  </si>
  <si>
    <t>https://pbs.twimg.com/media/DscocjnXoAA8JUb.jpg</t>
  </si>
  <si>
    <t>Politólogo Chino muy irónico, sorprendido diariamente con España y los españoles Estoy enfadado con Marx (Groucho no, el otro, Karl) Riámonos de la Actualidad.</t>
  </si>
  <si>
    <t>Exiliados de Extremoduro</t>
  </si>
  <si>
    <t>Extremadura, ESPAÑA</t>
  </si>
  <si>
    <t>http://exiliadosdeextremo.blogspot.com.es/ http://exiliadosdeextremodu.foroactivos.net/</t>
  </si>
  <si>
    <t>https://www.facebook.com/exiliados.extremoduro</t>
  </si>
  <si>
    <t>Keats</t>
  </si>
  <si>
    <t>Lista de gestos feministas: - Pablo Iglesias: dice de una periodista que “la azotaría hasta que sangrase” - Ministra de Justicia: una casa de putas montada por Villarejo es un “éxito garantizado” - Leticia Dolera: echa a una actriz por estar embarazada. Pues muy bien todo 🙃</t>
  </si>
  <si>
    <t>Estudié Derecho y Económicas. Hoy oposito a Abogacía del Estado. Me niego a aceptar cualquier dogma y soy fan de los que me llaman facha como argumento.</t>
  </si>
  <si>
    <t>https://blogjkeats.wordpress.com/</t>
  </si>
  <si>
    <t>Mia</t>
  </si>
  <si>
    <t>“Para ser demócrata hay que ser antifascista” Pablo Iglesias. 🙏😍</t>
  </si>
  <si>
    <t>Catalana, vegetariana, podemita, feminista, estudiante de Integracion Social en la UOC, viajera, animalista y dice mi madre que guapa. I 💝 Alejandro Sanz</t>
  </si>
  <si>
    <t>Montiel de Arnáiz</t>
  </si>
  <si>
    <t>Que la serie de Dolera verse precisamente sobre una embarazada con problemas laborales convierte esta acusación en el caso más sangrante de “consejos vendo que para mí no tengo” desde que Pablo Iglesias se compró el chalet. RT @juansotoivars: Mi columna de hoy versa, claro, sobre Leticia Dolera.</t>
  </si>
  <si>
    <t>La Isla de León</t>
  </si>
  <si>
    <t>Abogado (del diablo), escritor y articulista de opinión de @DiarioCadiz. Mi último libro es la novela #Alavelocidaddelanoche #thriller #noir</t>
  </si>
  <si>
    <t>http://www.montielbaraka.blogspot.com</t>
  </si>
  <si>
    <t>Miguel Suárez M</t>
  </si>
  <si>
    <t>No puedo estar de acuerdo con Pablo Iglesias, pregunto, porqué tiene que ser una feminista la que presida el Consejo de los jueces? Y si hay algún hombre más valido? Ningún político debería pronunciarse si es mejor unos que otros u otras, el que lo merezca #SupremoPlantónARV</t>
  </si>
  <si>
    <t>Pensionista</t>
  </si>
  <si>
    <t>Gallego Rey</t>
  </si>
  <si>
    <t>Pablo Iglesias dando un mitin en la @laSextaTV. Da igual cuando lo leas.</t>
  </si>
  <si>
    <t>Beniaján, Murcia</t>
  </si>
  <si>
    <t>Gallego. De Carballo/A Coruña. De paso, como todos. Aquí solo se viene a vivir un rato y hay que aprovecharlo.</t>
  </si>
  <si>
    <t>http://www.gallegorey.wordpress.com</t>
  </si>
  <si>
    <t>Ismael López Martín</t>
  </si>
  <si>
    <t>Le acaba de preguntar Ferreras a Pablo Iglesias que si va a participar en las conversaciones para lo del Tribunal Supremo y dice: "No somos ingenuos, participaremos hasta que haya gente decente". Traducción: Si puedo, coloco a jueces de los míos. Si eso lo dice uno del PP ...</t>
  </si>
  <si>
    <t>Comunicación online en @ppopular. Gratis significa que otro lo paga. Perfil Personal.</t>
  </si>
  <si>
    <t>http://www.pp.es</t>
  </si>
  <si>
    <t>Alberto Órfão</t>
  </si>
  <si>
    <t>Pablo Iglesias sobre la negociación de los presupuestos: "Los viajes al exterior están muy bien pero primero hay que arreglar lo de casa"</t>
  </si>
  <si>
    <t>Periodista y otras cosas. Lo internacional es lo verdaderamente relevante. Likes=bookmarks.</t>
  </si>
  <si>
    <t>🔴 Pablo Iglesias: "Nosotros siempre vamos a participar para mejorar las cosas, aunque no nos guste" #SupremoPlantónARV | DIRECTO ➡</t>
  </si>
  <si>
    <t>http://atres.red/4ncii5669</t>
  </si>
  <si>
    <t>https://pbs.twimg.com/media/Dsck736WwAA9ISA.jpg</t>
  </si>
  <si>
    <t>UDEC - Andújar</t>
  </si>
  <si>
    <t>De. Pablo Iglesias; el tema de las elecciones UDEC, lleva 7 meses pidiendo el acto.Infórmese. UDEC-Pte. FDEZ. MORENO, JOSE, Juan F. Cordoba Rguez</t>
  </si>
  <si>
    <t>PARTIDO "UNIDAD DE CENTRO". Pte. Jacinto Fernández. Andujar: Juan Córdoba Rguez.</t>
  </si>
  <si>
    <t>http://udec.es</t>
  </si>
  <si>
    <t>Cristina Fernández</t>
  </si>
  <si>
    <t>#SupremoPlantónARV Xq cada vez q habla Pablo Iglesias todo parece limpio y fácil y cada vez q ladran Casado y Rivera es sucio y oscuro. Será q uno piensa en el pueblo y los otros en el IBEX y no acabar en Soto del Real?? Q vergüenza de pais</t>
  </si>
  <si>
    <t>JYA</t>
  </si>
  <si>
    <t>#SupremoPlantonARV Pablo Iglesias no propuso ningun nombre.. sois votantes de corruptos y la mierda sois vosotros.</t>
  </si>
  <si>
    <t>Que nadie construya su verdad en tu consciencia sin que antes hayas contrastado que asi es por ti mismo</t>
  </si>
  <si>
    <t>Trezeguet</t>
  </si>
  <si>
    <t>Pablo Iglesias ya está criticando decisiones judiciales que no le gustan #alrojovivo por eso queréis repartiros el poder judicial para las cosas que os salgan de la polla a ustedes 😂😂😂</t>
  </si>
  <si>
    <t>#SupremoPlantonARV mucho miserabien ble votando corruptos hablando mal del unico politico decente y que puede ir con la cabeza alta, muy Pablo Iglesias, muchas gente estamos contigo intentando limpiar la corrupción.👏🏼👏🏼👏🏼👏🏼👏🏼</t>
  </si>
  <si>
    <t>PARA PABLO IGLESIAS EL MAGISTRADO MARCHENA NO TIENE DIGNIDAD !!! solo tiend dignidad "" el evangelio LENINISTA- STALINISTA y "" feminazi """!!!</t>
  </si>
  <si>
    <t>Más de 10.000 personas se han sumado a la petición de .@ffw_ch y @LiberaONG para acabar con el maltrato de animales silvestres. 📝Firma ahora y difunde</t>
  </si>
  <si>
    <t>https://pbs.twimg.com/media/Dsck6hdXQAAk4_i.jpg</t>
  </si>
  <si>
    <t>Mac-leiras</t>
  </si>
  <si>
    <t>Que dice pablo iglesias que se apunta al reparto judicial dice que es porque quiere meter a una jueza, eso si, por feminismo. 😂😂😂😂 #SupremoPlantonARV</t>
  </si>
  <si>
    <t>Galego por nación, Español por historia, Europeo por cultura.</t>
  </si>
  <si>
    <t>🔴 Pablo Iglesias: "Creo que Cosidó debería dimitir" #SupremoPlantónARV | DIRECTO ➡</t>
  </si>
  <si>
    <t>http://atres.red/4ncii5668</t>
  </si>
  <si>
    <t>Pelayo</t>
  </si>
  <si>
    <t>Pablo Iglesias critica a Marchena por haber estado negociando con el PP hasta hoy, que de "dignidad nada". ¿¿Y ELLOS CON EL PSOE??</t>
  </si>
  <si>
    <t>Asturiano, madrileño adoptivo. Estudiante de Ingeniería de Caminos, Canales y Puertos y madridista. 🇪🇺</t>
  </si>
  <si>
    <t>LaPerraDeGallifantes</t>
  </si>
  <si>
    <t>Ferreras wnteevistando a Pablo Iglesias por el apaño de los jueces en el CGPJ y se le ha debido olvidar que el tambien formaba parte del pacto... esto es @DebatAlRojoVivo, pura manipulacion</t>
  </si>
  <si>
    <t>Soy una historia de éxito. Salí de Jaen y tras doctorarme en astrofísica por la Pomperru Fabra aspiro a presidir la República Catalana, gracias a #Gallifantes</t>
  </si>
  <si>
    <t>Myguelon</t>
  </si>
  <si>
    <t>Pablo iglesias."La memoria histórica es la gasolina del futuro"</t>
  </si>
  <si>
    <t>https://www.reddit.com/r/podemos/comments/9yqc5w/pablo_iglesiasla_memoria_hist%C3%B3rica_es_la_gasolina/?st=JOPQ2K9B&amp;sh=585bfd6a</t>
  </si>
  <si>
    <t>La increible y vasta red</t>
  </si>
  <si>
    <t>Republicano Antifascista</t>
  </si>
  <si>
    <t>https://twitter.com/Myguelon</t>
  </si>
  <si>
    <t>teresa toro</t>
  </si>
  <si>
    <t>Os da Franco más audiencia k pedrosanchez y Pablo Iglesias juntostodaviaos keda hasta k lo saken desaparece el programa #20N120</t>
  </si>
  <si>
    <t>#SupremoPlantonARV Pablo Iglesias el unico politico digno de serlo por mucho que la prensa haya conseguido que la gente lo odie, Para mi sería el mejor presidente de España de todos los tiempos.</t>
  </si>
  <si>
    <t>LdeLandismo</t>
  </si>
  <si>
    <t>Despues de 20 minutos con Baltasar Garzon, justo antes del telediario te ponen a Pablo Iglesias</t>
  </si>
  <si>
    <t>Para tu música, escucha la mia</t>
  </si>
  <si>
    <t>#LosPinochistas #estaganao #loslandistas</t>
  </si>
  <si>
    <t>Pablo Iglesias en lasexta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</si>
</sst>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8" fillId="0" borderId="0" xfId="0" applyFont="1" applyAlignment="1">
      <alignment horizontal="left" vertical="center" wrapText="1"/>
    </xf>
    <xf numFmtId="0" fontId="3" fillId="0" borderId="0" xfId="0" quotePrefix="1" applyFont="1" applyAlignment="1">
      <alignment vertical="center" wrapText="1"/>
    </xf>
    <xf numFmtId="0" fontId="9" fillId="0" borderId="0" xfId="0" applyFont="1" applyAlignment="1">
      <alignment vertical="center"/>
    </xf>
    <xf numFmtId="14" fontId="3" fillId="0" borderId="0" xfId="0" applyNumberFormat="1"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164" fontId="3" fillId="0" borderId="0" xfId="0" applyNumberFormat="1" applyFont="1" applyAlignment="1">
      <alignment horizontal="center" vertical="center"/>
    </xf>
    <xf numFmtId="0" fontId="3" fillId="0" borderId="0" xfId="0" applyFont="1" applyAlignment="1">
      <alignment vertical="center"/>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elpais.com/elpais/2018/11/21/opinion/1542806031_921444.html" TargetMode="External"/><Relationship Id="rId1827" Type="http://schemas.openxmlformats.org/officeDocument/2006/relationships/hyperlink" Target="http://pic.twitter.com/QlwNkO71EE" TargetMode="External"/><Relationship Id="rId21" Type="http://schemas.openxmlformats.org/officeDocument/2006/relationships/hyperlink" Target="https://pbs.twimg.com/media/Dssc8YVXcAAY6oS.png" TargetMode="External"/><Relationship Id="rId2089" Type="http://schemas.openxmlformats.org/officeDocument/2006/relationships/hyperlink" Target="https://pbs.twimg.com/media/DsiJyvMWkAAuaWv.jpg" TargetMode="External"/><Relationship Id="rId170" Type="http://schemas.openxmlformats.org/officeDocument/2006/relationships/hyperlink" Target="https://pbs.twimg.com/media/DsrxYM_WoAAXJxP.jpg" TargetMode="External"/><Relationship Id="rId2296" Type="http://schemas.openxmlformats.org/officeDocument/2006/relationships/hyperlink" Target="https://www.instagram.com/gloriaelizo/" TargetMode="External"/><Relationship Id="rId268" Type="http://schemas.openxmlformats.org/officeDocument/2006/relationships/hyperlink" Target="https://elcomunista.net/2018/11/22/pablo-iglesias-pide-una-nueva-republica-como-garantia-para-una-espana-unida/" TargetMode="External"/><Relationship Id="rId475" Type="http://schemas.openxmlformats.org/officeDocument/2006/relationships/hyperlink" Target="http://www.hoyporhoy.es/" TargetMode="External"/><Relationship Id="rId682" Type="http://schemas.openxmlformats.org/officeDocument/2006/relationships/hyperlink" Target="http://www.elenfurecido.wordpress.com/" TargetMode="External"/><Relationship Id="rId2156" Type="http://schemas.openxmlformats.org/officeDocument/2006/relationships/hyperlink" Target="https://www.periodistadigital.com/politica/partidos-politicos/2018/11/20/las-memeces-de-un-caradura-llamado-pablo-iglesias.shtml" TargetMode="External"/><Relationship Id="rId2363" Type="http://schemas.openxmlformats.org/officeDocument/2006/relationships/hyperlink" Target="https://ugtcyl.es/web/concedidas-las-distinciones-pablo-iglesias-2017" TargetMode="External"/><Relationship Id="rId2570" Type="http://schemas.openxmlformats.org/officeDocument/2006/relationships/hyperlink" Target="https://youtu.be/dJQamM0sPOk" TargetMode="External"/><Relationship Id="rId128" Type="http://schemas.openxmlformats.org/officeDocument/2006/relationships/hyperlink" Target="http://facebook.com/profile.php?id=100006317147425" TargetMode="External"/><Relationship Id="rId335" Type="http://schemas.openxmlformats.org/officeDocument/2006/relationships/hyperlink" Target="http://t.me/ahoracantabria" TargetMode="External"/><Relationship Id="rId542" Type="http://schemas.openxmlformats.org/officeDocument/2006/relationships/hyperlink" Target="https://twitter.com/guaracuchafb/status/1065665207362641922" TargetMode="External"/><Relationship Id="rId987" Type="http://schemas.openxmlformats.org/officeDocument/2006/relationships/hyperlink" Target="https://pbs.twimg.com/media/DsnV_BOWkAEjB9a.jpg" TargetMode="External"/><Relationship Id="rId1172" Type="http://schemas.openxmlformats.org/officeDocument/2006/relationships/hyperlink" Target="https://ift.tt/2PMIAd1" TargetMode="External"/><Relationship Id="rId2016" Type="http://schemas.openxmlformats.org/officeDocument/2006/relationships/hyperlink" Target="http://www.manosinkietas.com/" TargetMode="External"/><Relationship Id="rId2223" Type="http://schemas.openxmlformats.org/officeDocument/2006/relationships/hyperlink" Target="https://pbs.twimg.com/media/DsdFWDSWkAARmtn.jpg" TargetMode="External"/><Relationship Id="rId2430" Type="http://schemas.openxmlformats.org/officeDocument/2006/relationships/hyperlink" Target="https://pbs.twimg.com/media/DsgW8KRWsAEIbRJ.jpg" TargetMode="External"/><Relationship Id="rId2668" Type="http://schemas.openxmlformats.org/officeDocument/2006/relationships/hyperlink" Target="http://pic.twitter.com/oWvNw0XEEB" TargetMode="External"/><Relationship Id="rId2875" Type="http://schemas.openxmlformats.org/officeDocument/2006/relationships/hyperlink" Target="https://www.youtube.com/channel/UC2OPRvShCwMeO__KHVyPl9w?sub_confirmation=1" TargetMode="External"/><Relationship Id="rId402" Type="http://schemas.openxmlformats.org/officeDocument/2006/relationships/hyperlink" Target="https://pbs.twimg.com/media/DsrLmNVW0AExay6.jpg" TargetMode="External"/><Relationship Id="rId847" Type="http://schemas.openxmlformats.org/officeDocument/2006/relationships/hyperlink" Target="https://pbs.twimg.com/media/DsoDNqfXgAEdK1X.jpg" TargetMode="External"/><Relationship Id="rId1032" Type="http://schemas.openxmlformats.org/officeDocument/2006/relationships/hyperlink" Target="http://madrid.podemos.info/" TargetMode="External"/><Relationship Id="rId1477" Type="http://schemas.openxmlformats.org/officeDocument/2006/relationships/hyperlink" Target="https://pbs.twimg.com/media/DsmIdYOX4AE6sdY.jpg" TargetMode="External"/><Relationship Id="rId1684" Type="http://schemas.openxmlformats.org/officeDocument/2006/relationships/hyperlink" Target="http://www.iniciativa.cat/" TargetMode="External"/><Relationship Id="rId1891" Type="http://schemas.openxmlformats.org/officeDocument/2006/relationships/hyperlink" Target="http://city-diary.tumblr.com/" TargetMode="External"/><Relationship Id="rId2528" Type="http://schemas.openxmlformats.org/officeDocument/2006/relationships/hyperlink" Target="http://a.msn.com/01/es-es/BBPULxB?ocid=st" TargetMode="External"/><Relationship Id="rId2735" Type="http://schemas.openxmlformats.org/officeDocument/2006/relationships/hyperlink" Target="http://www.geo.ya.com/xose36/" TargetMode="External"/><Relationship Id="rId2942" Type="http://schemas.openxmlformats.org/officeDocument/2006/relationships/hyperlink" Target="https://pbs.twimg.com/media/Dscqs8SXcAAM_JU.jpg" TargetMode="External"/><Relationship Id="rId707" Type="http://schemas.openxmlformats.org/officeDocument/2006/relationships/hyperlink" Target="http://www.bitmomentum.com/" TargetMode="External"/><Relationship Id="rId914" Type="http://schemas.openxmlformats.org/officeDocument/2006/relationships/hyperlink" Target="https://m.eldiario.es/_31fba808" TargetMode="External"/><Relationship Id="rId1337" Type="http://schemas.openxmlformats.org/officeDocument/2006/relationships/hyperlink" Target="http://cort.as/-CJMf" TargetMode="External"/><Relationship Id="rId1544" Type="http://schemas.openxmlformats.org/officeDocument/2006/relationships/hyperlink" Target="http://www.joanmena.cat/" TargetMode="External"/><Relationship Id="rId1751" Type="http://schemas.openxmlformats.org/officeDocument/2006/relationships/hyperlink" Target="http://www.bitmomentum.com/" TargetMode="External"/><Relationship Id="rId1989" Type="http://schemas.openxmlformats.org/officeDocument/2006/relationships/hyperlink" Target="https://pbs.twimg.com/media/DrrR2MMX0AA1JGk.jpg" TargetMode="External"/><Relationship Id="rId2802" Type="http://schemas.openxmlformats.org/officeDocument/2006/relationships/hyperlink" Target="http://pic.twitter.com/rQl8ABWxA2" TargetMode="External"/><Relationship Id="rId43" Type="http://schemas.openxmlformats.org/officeDocument/2006/relationships/hyperlink" Target="http://sociologias-com.blogspot.com/" TargetMode="External"/><Relationship Id="rId1404" Type="http://schemas.openxmlformats.org/officeDocument/2006/relationships/hyperlink" Target="http://www.quimbonaventura.com/" TargetMode="External"/><Relationship Id="rId1611" Type="http://schemas.openxmlformats.org/officeDocument/2006/relationships/hyperlink" Target="https://pbs.twimg.com/media/Dsl50OuW0AAnKAO.jpg" TargetMode="External"/><Relationship Id="rId1849" Type="http://schemas.openxmlformats.org/officeDocument/2006/relationships/hyperlink" Target="https://youtu.be/JiPTw8JIwkU" TargetMode="External"/><Relationship Id="rId192" Type="http://schemas.openxmlformats.org/officeDocument/2006/relationships/hyperlink" Target="http://www.elsiglodeuropa.es/siglo/historico/2018/1270/Index%20La%20Calle%20Juliana.html" TargetMode="External"/><Relationship Id="rId1709" Type="http://schemas.openxmlformats.org/officeDocument/2006/relationships/hyperlink" Target="https://elpais.com/elpais/2018/11/21/opinion/1542806031_921444.html?id_externo_rsoc=TW_CC" TargetMode="External"/><Relationship Id="rId1916" Type="http://schemas.openxmlformats.org/officeDocument/2006/relationships/hyperlink" Target="https://pbs.twimg.com/media/DsjSNp5WsAAsKWi.jpg" TargetMode="External"/><Relationship Id="rId497" Type="http://schemas.openxmlformats.org/officeDocument/2006/relationships/hyperlink" Target="http://gcarb94.wixsite.com/guillermocarbonell" TargetMode="External"/><Relationship Id="rId2080" Type="http://schemas.openxmlformats.org/officeDocument/2006/relationships/hyperlink" Target="https://cronicaglobal.elespanol.com/business/sanchez-a-iglesias-bankia-no-sera-publica_201157_102.html" TargetMode="External"/><Relationship Id="rId2178" Type="http://schemas.openxmlformats.org/officeDocument/2006/relationships/hyperlink" Target="https://twitter.com/keminPorta/status/1065200889844166657" TargetMode="External"/><Relationship Id="rId2385" Type="http://schemas.openxmlformats.org/officeDocument/2006/relationships/hyperlink" Target="https://ift.tt/2DRc9DX" TargetMode="External"/><Relationship Id="rId357" Type="http://schemas.openxmlformats.org/officeDocument/2006/relationships/hyperlink" Target="https://www.elconfidencial.com/espana/2018-11-18/desencanto-podemos-circulos-pablo-iglesias-carmena_1653050/" TargetMode="External"/><Relationship Id="rId1194" Type="http://schemas.openxmlformats.org/officeDocument/2006/relationships/hyperlink" Target="https://pbs.twimg.com/media/DslubFQXQAAofAn.jpg" TargetMode="External"/><Relationship Id="rId2038" Type="http://schemas.openxmlformats.org/officeDocument/2006/relationships/hyperlink" Target="https://twitter.com/jesusmedinae/status/975656805501194240" TargetMode="External"/><Relationship Id="rId2592" Type="http://schemas.openxmlformats.org/officeDocument/2006/relationships/hyperlink" Target="https://pbs.twimg.com/media/DsdWIydXcAERb3X.jpg" TargetMode="External"/><Relationship Id="rId2897" Type="http://schemas.openxmlformats.org/officeDocument/2006/relationships/hyperlink" Target="http://elperiodi.co/dbkmz1" TargetMode="External"/><Relationship Id="rId217" Type="http://schemas.openxmlformats.org/officeDocument/2006/relationships/hyperlink" Target="http://dlvr.it/QrwVt7" TargetMode="External"/><Relationship Id="rId564" Type="http://schemas.openxmlformats.org/officeDocument/2006/relationships/hyperlink" Target="https://elpais.com/elpais/2018/11/21/opinion/1542806031_921444.html?id_externo_rsoc=TW_CC" TargetMode="External"/><Relationship Id="rId771" Type="http://schemas.openxmlformats.org/officeDocument/2006/relationships/hyperlink" Target="https://twitter.com/CastigadorY/status/1065662967964938242" TargetMode="External"/><Relationship Id="rId869" Type="http://schemas.openxmlformats.org/officeDocument/2006/relationships/hyperlink" Target="https://twitter.com/michelpesquera/status/1065241714980519936" TargetMode="External"/><Relationship Id="rId1499" Type="http://schemas.openxmlformats.org/officeDocument/2006/relationships/hyperlink" Target="https://elpais.com/elpais/2018/11/21/opinion/1542806031_921444.html" TargetMode="External"/><Relationship Id="rId2245" Type="http://schemas.openxmlformats.org/officeDocument/2006/relationships/hyperlink" Target="http://www.coordinadoraongd.org/" TargetMode="External"/><Relationship Id="rId2452" Type="http://schemas.openxmlformats.org/officeDocument/2006/relationships/hyperlink" Target="http://www.bitmomentum.com/" TargetMode="External"/><Relationship Id="rId424" Type="http://schemas.openxmlformats.org/officeDocument/2006/relationships/hyperlink" Target="https://www.elperiodico.com/es/opinion/20181122/articulo-opinion-emma-riverola-las-cenizas-de-rufian-7162317?utm_source=twitter&amp;utm_medium=social" TargetMode="External"/><Relationship Id="rId631" Type="http://schemas.openxmlformats.org/officeDocument/2006/relationships/hyperlink" Target="https://twitter.com/castigadory/status/1065579194179031040" TargetMode="External"/><Relationship Id="rId729" Type="http://schemas.openxmlformats.org/officeDocument/2006/relationships/hyperlink" Target="http://city-diary.tumblr.com/" TargetMode="External"/><Relationship Id="rId1054" Type="http://schemas.openxmlformats.org/officeDocument/2006/relationships/hyperlink" Target="http://pic.twitter.com/Fqqj4JRDSp" TargetMode="External"/><Relationship Id="rId1261" Type="http://schemas.openxmlformats.org/officeDocument/2006/relationships/hyperlink" Target="https://pbs.twimg.com/media/DsmqlN3XoAAfATg.jpg" TargetMode="External"/><Relationship Id="rId1359" Type="http://schemas.openxmlformats.org/officeDocument/2006/relationships/hyperlink" Target="http://eldiario.es/" TargetMode="External"/><Relationship Id="rId2105" Type="http://schemas.openxmlformats.org/officeDocument/2006/relationships/hyperlink" Target="http://www.bitmomentum.com/" TargetMode="External"/><Relationship Id="rId2312" Type="http://schemas.openxmlformats.org/officeDocument/2006/relationships/hyperlink" Target="http://www.congreso.es/" TargetMode="External"/><Relationship Id="rId2757" Type="http://schemas.openxmlformats.org/officeDocument/2006/relationships/hyperlink" Target="http://www.linkedin.com/in/alejandromelgares" TargetMode="External"/><Relationship Id="rId2964" Type="http://schemas.openxmlformats.org/officeDocument/2006/relationships/hyperlink" Target="https://twitter.com/AsociacionMSPE/status/1064845812834947073" TargetMode="External"/><Relationship Id="rId936" Type="http://schemas.openxmlformats.org/officeDocument/2006/relationships/hyperlink" Target="http://podemos.info/" TargetMode="External"/><Relationship Id="rId1121" Type="http://schemas.openxmlformats.org/officeDocument/2006/relationships/hyperlink" Target="https://elpais.com/elpais/2018/11/21/opinion/1542806031_921444.html" TargetMode="External"/><Relationship Id="rId1219" Type="http://schemas.openxmlformats.org/officeDocument/2006/relationships/hyperlink" Target="https://elpais.com/elpais/2018/11/21/opinion/1542806031_921444.html?id_externo_rsoc=TW_CC" TargetMode="External"/><Relationship Id="rId1566" Type="http://schemas.openxmlformats.org/officeDocument/2006/relationships/hyperlink" Target="https://amzn.to/2GPL19g" TargetMode="External"/><Relationship Id="rId1773" Type="http://schemas.openxmlformats.org/officeDocument/2006/relationships/hyperlink" Target="https://pbs.twimg.com/media/DskrgivXgAEf95l.jpg" TargetMode="External"/><Relationship Id="rId1980" Type="http://schemas.openxmlformats.org/officeDocument/2006/relationships/hyperlink" Target="http://pic.twitter.com/LiIWcbE1ow" TargetMode="External"/><Relationship Id="rId2617" Type="http://schemas.openxmlformats.org/officeDocument/2006/relationships/hyperlink" Target="http://palencia.cnt.es/2018/10/06/memoria-historica-la-union-de-hermanos-proletarios-uhp-la-revoluci" TargetMode="External"/><Relationship Id="rId2824" Type="http://schemas.openxmlformats.org/officeDocument/2006/relationships/hyperlink" Target="https://twitter.com/cristiancrespoj/status/1064678840725921793" TargetMode="External"/><Relationship Id="rId65" Type="http://schemas.openxmlformats.org/officeDocument/2006/relationships/hyperlink" Target="http://www.noticierouniversal.com/" TargetMode="External"/><Relationship Id="rId1426" Type="http://schemas.openxmlformats.org/officeDocument/2006/relationships/hyperlink" Target="https://elpais.com/elpais/2018/11/21/opinion/1542806031_921444.html" TargetMode="External"/><Relationship Id="rId1633" Type="http://schemas.openxmlformats.org/officeDocument/2006/relationships/hyperlink" Target="https://elpais.com/elpais/2018/11/21/opinion/1542806031_921444.html?id_externo_rsoc=TW_CC" TargetMode="External"/><Relationship Id="rId1840" Type="http://schemas.openxmlformats.org/officeDocument/2006/relationships/hyperlink" Target="https://es.rt.com/6cot" TargetMode="External"/><Relationship Id="rId1700" Type="http://schemas.openxmlformats.org/officeDocument/2006/relationships/hyperlink" Target="https://www.youtube.com/" TargetMode="External"/><Relationship Id="rId1938" Type="http://schemas.openxmlformats.org/officeDocument/2006/relationships/hyperlink" Target="https://curiouscat.me/leninistfenix/post/713150918?t=1542828045" TargetMode="External"/><Relationship Id="rId281" Type="http://schemas.openxmlformats.org/officeDocument/2006/relationships/hyperlink" Target="https://www.elconfidencial.com/espana/2018-11-23/brexit-gibraltar-pablo-iglesias-pedro-sanchez-patriotismo_1664358/" TargetMode="External"/><Relationship Id="rId141" Type="http://schemas.openxmlformats.org/officeDocument/2006/relationships/hyperlink" Target="https://okdiario.com/espana/2018/11/23/iglesias-prepara-abandonar-sanchez-si-hay-adelanto-electoral-3382639" TargetMode="External"/><Relationship Id="rId379" Type="http://schemas.openxmlformats.org/officeDocument/2006/relationships/hyperlink" Target="http://bit.ly/2PMOivn" TargetMode="External"/><Relationship Id="rId586" Type="http://schemas.openxmlformats.org/officeDocument/2006/relationships/hyperlink" Target="https://curiouscat.me/Juanakin69" TargetMode="External"/><Relationship Id="rId793" Type="http://schemas.openxmlformats.org/officeDocument/2006/relationships/hyperlink" Target="https://elpais.com/elpais/2018/11/21/opinion/1542806031_921444.html?id_externo_rsoc=TW_CC" TargetMode="External"/><Relationship Id="rId2267" Type="http://schemas.openxmlformats.org/officeDocument/2006/relationships/hyperlink" Target="https://www.facebook.com/pablo.echenique/" TargetMode="External"/><Relationship Id="rId2474" Type="http://schemas.openxmlformats.org/officeDocument/2006/relationships/hyperlink" Target="https://www.youtube.com/channel/UCCx9Dm5y3XklFmIq4thw_SQ" TargetMode="External"/><Relationship Id="rId2681" Type="http://schemas.openxmlformats.org/officeDocument/2006/relationships/hyperlink" Target="https://pbs.twimg.com/media/DsduZCkUcAAw6Ty.jpg" TargetMode="External"/><Relationship Id="rId7" Type="http://schemas.openxmlformats.org/officeDocument/2006/relationships/hyperlink" Target="http://sextavision.es/" TargetMode="External"/><Relationship Id="rId239" Type="http://schemas.openxmlformats.org/officeDocument/2006/relationships/hyperlink" Target="http://ow.ly/tIJK30mDEqk" TargetMode="External"/><Relationship Id="rId446" Type="http://schemas.openxmlformats.org/officeDocument/2006/relationships/hyperlink" Target="http://insurgente.org/aday-quesada-pablo-iglesias-la-bandera-tricolor-es-el-simbolo-de-los-perdedores-y-no-volvera-a-resurgir/" TargetMode="External"/><Relationship Id="rId653" Type="http://schemas.openxmlformats.org/officeDocument/2006/relationships/hyperlink" Target="https://elpais.com/elpais/2018/11/21/opinion/1542806031_921444.html?id_externo_rsoc=TW_CC" TargetMode="External"/><Relationship Id="rId1076" Type="http://schemas.openxmlformats.org/officeDocument/2006/relationships/hyperlink" Target="https://elpais.com/elpais/2018/11/21/opinion/1542806031_921444.html?id_externo_rsoc=TW_CC" TargetMode="External"/><Relationship Id="rId1283" Type="http://schemas.openxmlformats.org/officeDocument/2006/relationships/hyperlink" Target="http://antroperplejo.wordpress.com/" TargetMode="External"/><Relationship Id="rId1490" Type="http://schemas.openxmlformats.org/officeDocument/2006/relationships/hyperlink" Target="https://www.cuartopoder.es/espana/2018/11/22/si-cae-la-monarquia-cae-el-sistema-politico-del-78-la-utilidad-de-la-corona-a-debate/" TargetMode="External"/><Relationship Id="rId2127" Type="http://schemas.openxmlformats.org/officeDocument/2006/relationships/hyperlink" Target="http://pic.twitter.com/Xq1JB4eNka" TargetMode="External"/><Relationship Id="rId2334" Type="http://schemas.openxmlformats.org/officeDocument/2006/relationships/hyperlink" Target="http://youtu.be/psnAJ4UPdvE?a" TargetMode="External"/><Relationship Id="rId2779" Type="http://schemas.openxmlformats.org/officeDocument/2006/relationships/hyperlink" Target="https://www.elmundo.es/espana/2018/11/20/5bf407ae46163f14b08b460e.html" TargetMode="External"/><Relationship Id="rId2986" Type="http://schemas.openxmlformats.org/officeDocument/2006/relationships/hyperlink" Target="https://pbs.twimg.com/media/DsckEyCWsAA6yzQ.jpg" TargetMode="External"/><Relationship Id="rId306" Type="http://schemas.openxmlformats.org/officeDocument/2006/relationships/hyperlink" Target="https://amp.elmundo.es/espana/2018/11/22/5bf691e9e5fdea305a8b465c.html?__twitter_impression=true" TargetMode="External"/><Relationship Id="rId860" Type="http://schemas.openxmlformats.org/officeDocument/2006/relationships/hyperlink" Target="http://www.slaymultimedios.com/" TargetMode="External"/><Relationship Id="rId958" Type="http://schemas.openxmlformats.org/officeDocument/2006/relationships/hyperlink" Target="https://pbs.twimg.com/media/Dsnter6WwAIW7Sk.jpg" TargetMode="External"/><Relationship Id="rId1143" Type="http://schemas.openxmlformats.org/officeDocument/2006/relationships/hyperlink" Target="https://okdiario.com/espana/2018/11/22/podemos-cierra-granma-que-lanzo-darse-autobombo-editar-solo-numero-3375752" TargetMode="External"/><Relationship Id="rId1588" Type="http://schemas.openxmlformats.org/officeDocument/2006/relationships/hyperlink" Target="http://www.podemos.info/" TargetMode="External"/><Relationship Id="rId1795" Type="http://schemas.openxmlformats.org/officeDocument/2006/relationships/hyperlink" Target="https://pbs.twimg.com/media/DskKD1PWwAA4gCq.jpg" TargetMode="External"/><Relationship Id="rId2541" Type="http://schemas.openxmlformats.org/officeDocument/2006/relationships/hyperlink" Target="http://www.elmundo.es/economia/macroeconomia/2018/11/20/5bf43c46ca474148658b456f.html" TargetMode="External"/><Relationship Id="rId2639" Type="http://schemas.openxmlformats.org/officeDocument/2006/relationships/hyperlink" Target="https://www.lasexta.com/programas/al-rojo-vivo/entrevistas/pablo-iglesias-de-dignidad-nada-marchena-ha-negociado-con-el-pp-presidir-el-cgpj-video_201811205bf4053b0cf2c5d615617124.html" TargetMode="External"/><Relationship Id="rId2846" Type="http://schemas.openxmlformats.org/officeDocument/2006/relationships/hyperlink" Target="https://pbs.twimg.com/media/DsdFWDSWkAARmtn.jpg" TargetMode="External"/><Relationship Id="rId87" Type="http://schemas.openxmlformats.org/officeDocument/2006/relationships/hyperlink" Target="https://pbs.twimg.com/media/DssJPvMXgAAdkDz.jpg" TargetMode="External"/><Relationship Id="rId513" Type="http://schemas.openxmlformats.org/officeDocument/2006/relationships/hyperlink" Target="http://www.periodistadigital.com/" TargetMode="External"/><Relationship Id="rId720" Type="http://schemas.openxmlformats.org/officeDocument/2006/relationships/hyperlink" Target="http://www.radiosporting.es/" TargetMode="External"/><Relationship Id="rId818" Type="http://schemas.openxmlformats.org/officeDocument/2006/relationships/hyperlink" Target="https://twitter.com/Josehermida/status/1065670202342498304" TargetMode="External"/><Relationship Id="rId1350" Type="http://schemas.openxmlformats.org/officeDocument/2006/relationships/hyperlink" Target="http://podemosparla.org/" TargetMode="External"/><Relationship Id="rId1448" Type="http://schemas.openxmlformats.org/officeDocument/2006/relationships/hyperlink" Target="http://change.org/findeetasinimpunidad" TargetMode="External"/><Relationship Id="rId1655" Type="http://schemas.openxmlformats.org/officeDocument/2006/relationships/hyperlink" Target="https://elpais.com/elpais/2018/11/21/opinion/1542806031_921444.html?id_externo_rsoc=TW_CC" TargetMode="External"/><Relationship Id="rId2401" Type="http://schemas.openxmlformats.org/officeDocument/2006/relationships/hyperlink" Target="https://www.elmundo.es/andalucia/2018/11/21/5bf46ba046163f4da28b4607.html" TargetMode="External"/><Relationship Id="rId2706" Type="http://schemas.openxmlformats.org/officeDocument/2006/relationships/hyperlink" Target="http://www.pptedejamossinuneuro.com/" TargetMode="External"/><Relationship Id="rId1003" Type="http://schemas.openxmlformats.org/officeDocument/2006/relationships/hyperlink" Target="https://pbs.twimg.com/media/DsnhwkOX4AEh7hs.jpg" TargetMode="External"/><Relationship Id="rId1210" Type="http://schemas.openxmlformats.org/officeDocument/2006/relationships/hyperlink" Target="https://elpais.com/elpais/2018/11/21/opinion/1542806031_921444.html?id_externo_rsoc=TW_CC" TargetMode="External"/><Relationship Id="rId1308" Type="http://schemas.openxmlformats.org/officeDocument/2006/relationships/hyperlink" Target="https://pbs.twimg.com/media/DsmfqTYXcAANRZI.jpg" TargetMode="External"/><Relationship Id="rId1862" Type="http://schemas.openxmlformats.org/officeDocument/2006/relationships/hyperlink" Target="https://curiouscat.me/KikeMoratalaz" TargetMode="External"/><Relationship Id="rId2913" Type="http://schemas.openxmlformats.org/officeDocument/2006/relationships/hyperlink" Target="https://okdiario.com/espana/2018/11/19/casado-viajo-andalucia-ave-rivera-coche-sanchez-avion-privado-9-000-euros-3366935" TargetMode="External"/><Relationship Id="rId1515" Type="http://schemas.openxmlformats.org/officeDocument/2006/relationships/hyperlink" Target="https://pbs.twimg.com/media/DsmFVz7WwAAflpw.jpg" TargetMode="External"/><Relationship Id="rId1722" Type="http://schemas.openxmlformats.org/officeDocument/2006/relationships/hyperlink" Target="https://elpais.com/elpais/2018/11/21/opinion/1542806031_921444.html?id_externo_rsoc=TW_CC" TargetMode="External"/><Relationship Id="rId14" Type="http://schemas.openxmlformats.org/officeDocument/2006/relationships/hyperlink" Target="http://www.elindependiente.com/" TargetMode="External"/><Relationship Id="rId2191" Type="http://schemas.openxmlformats.org/officeDocument/2006/relationships/hyperlink" Target="http://www.madridapie.com/" TargetMode="External"/><Relationship Id="rId163" Type="http://schemas.openxmlformats.org/officeDocument/2006/relationships/hyperlink" Target="http://pic.twitter.com/Je6lXkDYJt" TargetMode="External"/><Relationship Id="rId370" Type="http://schemas.openxmlformats.org/officeDocument/2006/relationships/hyperlink" Target="http://www.efe.com/" TargetMode="External"/><Relationship Id="rId2051" Type="http://schemas.openxmlformats.org/officeDocument/2006/relationships/hyperlink" Target="https://www.periodistadigital.com/periodismo/tv/2018/11/20/pedro-sanchez-pablo-iglesias-presupuestos-elecciones-ferreras-gobierno.shtml" TargetMode="External"/><Relationship Id="rId2289" Type="http://schemas.openxmlformats.org/officeDocument/2006/relationships/hyperlink" Target="http://instagram.com/alcantuffly" TargetMode="External"/><Relationship Id="rId2496" Type="http://schemas.openxmlformats.org/officeDocument/2006/relationships/hyperlink" Target="https://www.periodistadigital.com/periodismo/tv/2018/11/20/pedro-sanchez-pablo-iglesias-presupuestos-elecciones-ferreras-gobierno.shtml" TargetMode="External"/><Relationship Id="rId230" Type="http://schemas.openxmlformats.org/officeDocument/2006/relationships/hyperlink" Target="http://www.madriddigital24horas.com/" TargetMode="External"/><Relationship Id="rId468" Type="http://schemas.openxmlformats.org/officeDocument/2006/relationships/hyperlink" Target="https://pbs.twimg.com/media/DsrGKAwUwAAX-xX.jpg" TargetMode="External"/><Relationship Id="rId675" Type="http://schemas.openxmlformats.org/officeDocument/2006/relationships/hyperlink" Target="https://curiouscat.me/Hepnos" TargetMode="External"/><Relationship Id="rId882" Type="http://schemas.openxmlformats.org/officeDocument/2006/relationships/hyperlink" Target="https://www.eldiario.es/_31fba808" TargetMode="External"/><Relationship Id="rId1098" Type="http://schemas.openxmlformats.org/officeDocument/2006/relationships/hyperlink" Target="https://twitter.com/carmen_caesaris/status/1065273027850571778" TargetMode="External"/><Relationship Id="rId2149" Type="http://schemas.openxmlformats.org/officeDocument/2006/relationships/hyperlink" Target="http://atres.red/8edv28" TargetMode="External"/><Relationship Id="rId2356" Type="http://schemas.openxmlformats.org/officeDocument/2006/relationships/hyperlink" Target="http://serbanx.deviantart.com/" TargetMode="External"/><Relationship Id="rId2563" Type="http://schemas.openxmlformats.org/officeDocument/2006/relationships/hyperlink" Target="http://fritoxjugar.nixiweb.com/" TargetMode="External"/><Relationship Id="rId2770" Type="http://schemas.openxmlformats.org/officeDocument/2006/relationships/hyperlink" Target="https://www.eldiestro.es/2018/11/la-real-federacion-espanola-de-caza-responde-manipulacion-de-pablo-iglesias/" TargetMode="External"/><Relationship Id="rId328" Type="http://schemas.openxmlformats.org/officeDocument/2006/relationships/hyperlink" Target="https://pbs.twimg.com/media/Dsres0VXQAAWmhs.jpg" TargetMode="External"/><Relationship Id="rId535" Type="http://schemas.openxmlformats.org/officeDocument/2006/relationships/hyperlink" Target="https://m.eldiario.es/_31eabbf7" TargetMode="External"/><Relationship Id="rId742" Type="http://schemas.openxmlformats.org/officeDocument/2006/relationships/hyperlink" Target="https://twitter.com/hermanntertsch/status/1065501778270191617" TargetMode="External"/><Relationship Id="rId1165" Type="http://schemas.openxmlformats.org/officeDocument/2006/relationships/hyperlink" Target="http://a.msn.com/01/es-es/BBPXUfV?ocid=st" TargetMode="External"/><Relationship Id="rId1372" Type="http://schemas.openxmlformats.org/officeDocument/2006/relationships/hyperlink" Target="https://elpais.com/elpais/2018/11/21/opinion/1542806031_921444.html" TargetMode="External"/><Relationship Id="rId2009" Type="http://schemas.openxmlformats.org/officeDocument/2006/relationships/hyperlink" Target="http://joseluisuriz.blogspot.com.es/" TargetMode="External"/><Relationship Id="rId2216" Type="http://schemas.openxmlformats.org/officeDocument/2006/relationships/hyperlink" Target="http://www.liberaong.org/" TargetMode="External"/><Relationship Id="rId2423" Type="http://schemas.openxmlformats.org/officeDocument/2006/relationships/hyperlink" Target="http://www.eseune.edu/enrique" TargetMode="External"/><Relationship Id="rId2630" Type="http://schemas.openxmlformats.org/officeDocument/2006/relationships/hyperlink" Target="https://ift.tt/2qY9nEo" TargetMode="External"/><Relationship Id="rId2868" Type="http://schemas.openxmlformats.org/officeDocument/2006/relationships/hyperlink" Target="http://atres.red/jt8fe6" TargetMode="External"/><Relationship Id="rId602" Type="http://schemas.openxmlformats.org/officeDocument/2006/relationships/hyperlink" Target="https://pbs.twimg.com/media/DshBKm7X4AAP7hZ.jpg" TargetMode="External"/><Relationship Id="rId1025" Type="http://schemas.openxmlformats.org/officeDocument/2006/relationships/hyperlink" Target="http://www.facebook.com/groups/yosoynaranjito" TargetMode="External"/><Relationship Id="rId1232" Type="http://schemas.openxmlformats.org/officeDocument/2006/relationships/hyperlink" Target="https://elpais.com/elpais/2018/11/21/opinion/1542806031_921444.html" TargetMode="External"/><Relationship Id="rId1677" Type="http://schemas.openxmlformats.org/officeDocument/2006/relationships/hyperlink" Target="https://elpais.com/elpais/2018/11/21/opinion/1542806031_921444.html?id_externo_rsoc=TW_CC" TargetMode="External"/><Relationship Id="rId1884" Type="http://schemas.openxmlformats.org/officeDocument/2006/relationships/hyperlink" Target="https://elpais.com/economia/2018/11/21/actualidad/1542811568_541791.html" TargetMode="External"/><Relationship Id="rId2728" Type="http://schemas.openxmlformats.org/officeDocument/2006/relationships/hyperlink" Target="http://pic.twitter.com/7Y05p3lfmd" TargetMode="External"/><Relationship Id="rId2935" Type="http://schemas.openxmlformats.org/officeDocument/2006/relationships/hyperlink" Target="https://goo.gl/images/RMnL2n" TargetMode="External"/><Relationship Id="rId907" Type="http://schemas.openxmlformats.org/officeDocument/2006/relationships/hyperlink" Target="http://youtu.be/X0NDyPjkgCI?a" TargetMode="External"/><Relationship Id="rId1537" Type="http://schemas.openxmlformats.org/officeDocument/2006/relationships/hyperlink" Target="https://elpais.com/elpais/2018/11/21/opinion/1542806031_921444.html?id_externo_rsoc=TW_CC" TargetMode="External"/><Relationship Id="rId1744" Type="http://schemas.openxmlformats.org/officeDocument/2006/relationships/hyperlink" Target="https://youtu.be/MiXC31LRraU" TargetMode="External"/><Relationship Id="rId1951" Type="http://schemas.openxmlformats.org/officeDocument/2006/relationships/hyperlink" Target="https://pbs.twimg.com/media/Dsi8iCRWoAQG7gp.jpg" TargetMode="External"/><Relationship Id="rId36" Type="http://schemas.openxmlformats.org/officeDocument/2006/relationships/hyperlink" Target="http://www.slaymultimedios.com/" TargetMode="External"/><Relationship Id="rId1604" Type="http://schemas.openxmlformats.org/officeDocument/2006/relationships/hyperlink" Target="https://elpais.com/elpais/2018/11/21/opinion/1542806031_921444.html?id_externo_rsoc=TW_CC" TargetMode="External"/><Relationship Id="rId185" Type="http://schemas.openxmlformats.org/officeDocument/2006/relationships/hyperlink" Target="https://pbs.twimg.com/media/DsrGUYqW0AAOPas.jpg" TargetMode="External"/><Relationship Id="rId1811" Type="http://schemas.openxmlformats.org/officeDocument/2006/relationships/hyperlink" Target="http://canarias-semanal.org/art/23954/pablo-iglesias-la-bandera-tricolor-es-el-simbolo-de-los-perdedores-y-no-volvera-a-resurgir" TargetMode="External"/><Relationship Id="rId1909" Type="http://schemas.openxmlformats.org/officeDocument/2006/relationships/hyperlink" Target="https://pbs.twimg.com/media/Dsd9qBYXoAE03un.jpg" TargetMode="External"/><Relationship Id="rId392" Type="http://schemas.openxmlformats.org/officeDocument/2006/relationships/hyperlink" Target="https://pbs.twimg.com/media/DshBKm7X4AAP7hZ.jpg" TargetMode="External"/><Relationship Id="rId697" Type="http://schemas.openxmlformats.org/officeDocument/2006/relationships/hyperlink" Target="https://curiouscat.me/thewatchbegins/post/714077450?t=1542921231" TargetMode="External"/><Relationship Id="rId2073" Type="http://schemas.openxmlformats.org/officeDocument/2006/relationships/hyperlink" Target="https://pbs.twimg.com/media/DsiKzZUWoAAGGvo.jpg" TargetMode="External"/><Relationship Id="rId2280" Type="http://schemas.openxmlformats.org/officeDocument/2006/relationships/hyperlink" Target="https://twitter.com/SindicatoASAE/status/1002518670223069184" TargetMode="External"/><Relationship Id="rId2378" Type="http://schemas.openxmlformats.org/officeDocument/2006/relationships/hyperlink" Target="https://instagram.com/p/BkTVIvNDajK/" TargetMode="External"/><Relationship Id="rId252" Type="http://schemas.openxmlformats.org/officeDocument/2006/relationships/hyperlink" Target="https://www.facebook.com/profile.php?id=100011075051553" TargetMode="External"/><Relationship Id="rId1187" Type="http://schemas.openxmlformats.org/officeDocument/2006/relationships/hyperlink" Target="https://twitter.com/ionebelarra/status/1065519803107033088" TargetMode="External"/><Relationship Id="rId2140" Type="http://schemas.openxmlformats.org/officeDocument/2006/relationships/hyperlink" Target="https://youtu.be/WJQT3t1sWgU" TargetMode="External"/><Relationship Id="rId2585" Type="http://schemas.openxmlformats.org/officeDocument/2006/relationships/hyperlink" Target="https://pbs.twimg.com/media/DseIbHBXcAAWy79.jpg" TargetMode="External"/><Relationship Id="rId2792" Type="http://schemas.openxmlformats.org/officeDocument/2006/relationships/hyperlink" Target="https://blogs.elconfidencial.com/cultura/tribuna/2018-11-20/leticia-dolera-aina-clotet-despido-embarazo_1657338/?utm_source=twitter&amp;utm_medium=social&amp;utm_campaign=ECDiarioManual" TargetMode="External"/><Relationship Id="rId112" Type="http://schemas.openxmlformats.org/officeDocument/2006/relationships/hyperlink" Target="https://ift.tt/2r4c4nH" TargetMode="External"/><Relationship Id="rId557" Type="http://schemas.openxmlformats.org/officeDocument/2006/relationships/hyperlink" Target="https://pbs.twimg.com/media/DsqIhhHU4AEna3W.jpg" TargetMode="External"/><Relationship Id="rId764" Type="http://schemas.openxmlformats.org/officeDocument/2006/relationships/hyperlink" Target="https://pbs.twimg.com/media/Dsly0JOWsAErjQb.jpg" TargetMode="External"/><Relationship Id="rId971" Type="http://schemas.openxmlformats.org/officeDocument/2006/relationships/hyperlink" Target="http://www.multiforo.eu/" TargetMode="External"/><Relationship Id="rId1394" Type="http://schemas.openxmlformats.org/officeDocument/2006/relationships/hyperlink" Target="https://podemos.info/accion-institucional/" TargetMode="External"/><Relationship Id="rId1699" Type="http://schemas.openxmlformats.org/officeDocument/2006/relationships/hyperlink" Target="https://pbs.twimg.com/media/DsluWLaXoAAgVX6.jpg" TargetMode="External"/><Relationship Id="rId2000" Type="http://schemas.openxmlformats.org/officeDocument/2006/relationships/hyperlink" Target="http://pic.twitter.com/McMJL49vkY" TargetMode="External"/><Relationship Id="rId2238" Type="http://schemas.openxmlformats.org/officeDocument/2006/relationships/hyperlink" Target="http://www.sajimes.blogspot.com/" TargetMode="External"/><Relationship Id="rId2445" Type="http://schemas.openxmlformats.org/officeDocument/2006/relationships/hyperlink" Target="https://www.elmundo.es/andalucia/2018/11/21/5bf46ba046163f4da28b4607.html" TargetMode="External"/><Relationship Id="rId2652" Type="http://schemas.openxmlformats.org/officeDocument/2006/relationships/hyperlink" Target="https://pbs.twimg.com/media/DsdbOg_WkAAqvQn.jpg" TargetMode="External"/><Relationship Id="rId417" Type="http://schemas.openxmlformats.org/officeDocument/2006/relationships/hyperlink" Target="https://twitter.com/ldpsincomplejos/status/1065607926079983616" TargetMode="External"/><Relationship Id="rId624" Type="http://schemas.openxmlformats.org/officeDocument/2006/relationships/hyperlink" Target="https://pbs.twimg.com/media/DsorpGIV4AAanHE.jpg" TargetMode="External"/><Relationship Id="rId831" Type="http://schemas.openxmlformats.org/officeDocument/2006/relationships/hyperlink" Target="https://pbs.twimg.com/media/DsoIAcYWkAEzbAj.jpg" TargetMode="External"/><Relationship Id="rId1047" Type="http://schemas.openxmlformats.org/officeDocument/2006/relationships/hyperlink" Target="https://elpais.com/elpais/2018/11/21/opinion/1542806031_921444.html?id_externo_rsoc=TW_CC" TargetMode="External"/><Relationship Id="rId1254" Type="http://schemas.openxmlformats.org/officeDocument/2006/relationships/hyperlink" Target="http://izquierdarevolucionaria.net/" TargetMode="External"/><Relationship Id="rId1461" Type="http://schemas.openxmlformats.org/officeDocument/2006/relationships/hyperlink" Target="https://www.instagram.com/mariaespinosallave/" TargetMode="External"/><Relationship Id="rId2305" Type="http://schemas.openxmlformats.org/officeDocument/2006/relationships/hyperlink" Target="https://pacomolinadezamora.blogspot.com/2018/01/cosas-de-confucio-molina-2017.html?spref=tw" TargetMode="External"/><Relationship Id="rId2512" Type="http://schemas.openxmlformats.org/officeDocument/2006/relationships/hyperlink" Target="https://www.facebook.com/josegabrielz/posts/1912607788775556" TargetMode="External"/><Relationship Id="rId2957" Type="http://schemas.openxmlformats.org/officeDocument/2006/relationships/hyperlink" Target="https://www.periodistadigital.com/economia/vivienda/2018/11/19/el-registro-de-galapagar-oculta-los-datos-del-chalet-millonario-de-pablo-iglesias.shtml" TargetMode="External"/><Relationship Id="rId929" Type="http://schemas.openxmlformats.org/officeDocument/2006/relationships/hyperlink" Target="https://pbs.twimg.com/media/Dsn24l8VYAEZEUD.jpg" TargetMode="External"/><Relationship Id="rId1114" Type="http://schemas.openxmlformats.org/officeDocument/2006/relationships/hyperlink" Target="https://curiouscat.me/" TargetMode="External"/><Relationship Id="rId1321" Type="http://schemas.openxmlformats.org/officeDocument/2006/relationships/hyperlink" Target="https://elpais.com/elpais/2018/11/21/opinion/1542806031_921444.html" TargetMode="External"/><Relationship Id="rId1559" Type="http://schemas.openxmlformats.org/officeDocument/2006/relationships/hyperlink" Target="https://www.facebook.com/ayto.torremolinos" TargetMode="External"/><Relationship Id="rId1766" Type="http://schemas.openxmlformats.org/officeDocument/2006/relationships/hyperlink" Target="https://www.lavanguardia.com/economia/20181121/453082472717/fmi-espana-crecimiento-pib-pensiones.html" TargetMode="External"/><Relationship Id="rId1973" Type="http://schemas.openxmlformats.org/officeDocument/2006/relationships/hyperlink" Target="https://www.youtube.com/channel/UCzxgc4H0oHpD_o05R7wmEAA/videos" TargetMode="External"/><Relationship Id="rId2817" Type="http://schemas.openxmlformats.org/officeDocument/2006/relationships/hyperlink" Target="https://www.elmundo.es/espana/2018/11/20/5bf407ae46163f14b08b460e.html" TargetMode="External"/><Relationship Id="rId58" Type="http://schemas.openxmlformats.org/officeDocument/2006/relationships/hyperlink" Target="https://www.instagram.com/publimbi/?hl=es" TargetMode="External"/><Relationship Id="rId1419" Type="http://schemas.openxmlformats.org/officeDocument/2006/relationships/hyperlink" Target="http://www.sandromontes.com/" TargetMode="External"/><Relationship Id="rId1626" Type="http://schemas.openxmlformats.org/officeDocument/2006/relationships/hyperlink" Target="https://elpais.com/elpais/2018/11/21/opinion/1542806031_921444.amp.html?__twitter_impression=true" TargetMode="External"/><Relationship Id="rId1833" Type="http://schemas.openxmlformats.org/officeDocument/2006/relationships/hyperlink" Target="http://pic.twitter.com/6He0wI1m0D" TargetMode="External"/><Relationship Id="rId1900" Type="http://schemas.openxmlformats.org/officeDocument/2006/relationships/hyperlink" Target="https://pbs.twimg.com/media/DsjYGlyXgAAuXNw.jpg" TargetMode="External"/><Relationship Id="rId2095" Type="http://schemas.openxmlformats.org/officeDocument/2006/relationships/hyperlink" Target="https://youtu.be/dJQamM0sPOk" TargetMode="External"/><Relationship Id="rId274" Type="http://schemas.openxmlformats.org/officeDocument/2006/relationships/hyperlink" Target="http://johnnyzuri.zurired.es/" TargetMode="External"/><Relationship Id="rId481" Type="http://schemas.openxmlformats.org/officeDocument/2006/relationships/hyperlink" Target="https://pbs.twimg.com/media/DsrD_n2U0AAxSAW.jpg" TargetMode="External"/><Relationship Id="rId2162" Type="http://schemas.openxmlformats.org/officeDocument/2006/relationships/hyperlink" Target="http://www.fundacioncedat.org/" TargetMode="External"/><Relationship Id="rId134" Type="http://schemas.openxmlformats.org/officeDocument/2006/relationships/hyperlink" Target="http://www.trecetv.es/programas/el-cascabel" TargetMode="External"/><Relationship Id="rId579" Type="http://schemas.openxmlformats.org/officeDocument/2006/relationships/hyperlink" Target="https://pbs.twimg.com/media/Dspe3gQUUAAtoGQ.jpg" TargetMode="External"/><Relationship Id="rId786" Type="http://schemas.openxmlformats.org/officeDocument/2006/relationships/hyperlink" Target="https://www.libertaddigital.com/espana/2018-11-22/iglesias-utiliza-el-pais-para-atacar-a-la-monarquia-una-nueva-republica-sera-la-mejor-garantia-para-una-espana-unida-1276628644/" TargetMode="External"/><Relationship Id="rId993" Type="http://schemas.openxmlformats.org/officeDocument/2006/relationships/hyperlink" Target="https://www.diariodejerez.es/_4da6b0fe" TargetMode="External"/><Relationship Id="rId2467" Type="http://schemas.openxmlformats.org/officeDocument/2006/relationships/hyperlink" Target="http://fitoferreiro.com/" TargetMode="External"/><Relationship Id="rId2674" Type="http://schemas.openxmlformats.org/officeDocument/2006/relationships/hyperlink" Target="http://fronterasblog.com/" TargetMode="External"/><Relationship Id="rId341" Type="http://schemas.openxmlformats.org/officeDocument/2006/relationships/hyperlink" Target="https://www.vizify.com/robertlukman" TargetMode="External"/><Relationship Id="rId439" Type="http://schemas.openxmlformats.org/officeDocument/2006/relationships/hyperlink" Target="http://www.facebook.com/joanlluis" TargetMode="External"/><Relationship Id="rId646" Type="http://schemas.openxmlformats.org/officeDocument/2006/relationships/hyperlink" Target="https://www.facebook.com/Informalia" TargetMode="External"/><Relationship Id="rId1069" Type="http://schemas.openxmlformats.org/officeDocument/2006/relationships/hyperlink" Target="http://www.laopiniondemalaga.es/" TargetMode="External"/><Relationship Id="rId1276" Type="http://schemas.openxmlformats.org/officeDocument/2006/relationships/hyperlink" Target="https://pbs.twimg.com/media/DsmnLjbXoAUM9o3.jpg" TargetMode="External"/><Relationship Id="rId1483" Type="http://schemas.openxmlformats.org/officeDocument/2006/relationships/hyperlink" Target="https://elpais.com/elpais/2018/11/21/opinion/1542806031_921444.html" TargetMode="External"/><Relationship Id="rId2022" Type="http://schemas.openxmlformats.org/officeDocument/2006/relationships/hyperlink" Target="https://pbs.twimg.com/media/DsitupmWkAUXMes.jpg" TargetMode="External"/><Relationship Id="rId2327" Type="http://schemas.openxmlformats.org/officeDocument/2006/relationships/hyperlink" Target="http://canarias-semanal.org/" TargetMode="External"/><Relationship Id="rId2881" Type="http://schemas.openxmlformats.org/officeDocument/2006/relationships/hyperlink" Target="http://pic.twitter.com/6MBRXPqaKt" TargetMode="External"/><Relationship Id="rId2979" Type="http://schemas.openxmlformats.org/officeDocument/2006/relationships/hyperlink" Target="http://atres.red/4ncii5668" TargetMode="External"/><Relationship Id="rId201" Type="http://schemas.openxmlformats.org/officeDocument/2006/relationships/hyperlink" Target="http://www.agoraeafi.com/" TargetMode="External"/><Relationship Id="rId506" Type="http://schemas.openxmlformats.org/officeDocument/2006/relationships/hyperlink" Target="http://play.cadenaser.com/" TargetMode="External"/><Relationship Id="rId853" Type="http://schemas.openxmlformats.org/officeDocument/2006/relationships/hyperlink" Target="http://pic.twitter.com/ysSD5vqUGj" TargetMode="External"/><Relationship Id="rId1136" Type="http://schemas.openxmlformats.org/officeDocument/2006/relationships/hyperlink" Target="https://goo.gl/wu5ysz?mrd63=9061870388" TargetMode="External"/><Relationship Id="rId1690" Type="http://schemas.openxmlformats.org/officeDocument/2006/relationships/hyperlink" Target="https://elpais.com/elpais/2018/11/21/opinion/1542806031_921444.html" TargetMode="External"/><Relationship Id="rId1788" Type="http://schemas.openxmlformats.org/officeDocument/2006/relationships/hyperlink" Target="https://www.theguardian.com/world/ng-interactive/2018/nov/21/how-populist-are-you-quiz" TargetMode="External"/><Relationship Id="rId1995" Type="http://schemas.openxmlformats.org/officeDocument/2006/relationships/hyperlink" Target="https://pbs.twimg.com/media/Dsi45cUUcAALNLf.jpg" TargetMode="External"/><Relationship Id="rId2534" Type="http://schemas.openxmlformats.org/officeDocument/2006/relationships/hyperlink" Target="https://youtu.be/QFj42skgk1c" TargetMode="External"/><Relationship Id="rId2741" Type="http://schemas.openxmlformats.org/officeDocument/2006/relationships/hyperlink" Target="http://euskadi.ciudadanos-cs.org/category/getxo/" TargetMode="External"/><Relationship Id="rId2839" Type="http://schemas.openxmlformats.org/officeDocument/2006/relationships/hyperlink" Target="http://a.msn.com/01/es-es/BBPULxB?ocid=st" TargetMode="External"/><Relationship Id="rId713" Type="http://schemas.openxmlformats.org/officeDocument/2006/relationships/hyperlink" Target="https://pbs.twimg.com/media/DsEAwtlX0AAXBz3.jpg" TargetMode="External"/><Relationship Id="rId920" Type="http://schemas.openxmlformats.org/officeDocument/2006/relationships/hyperlink" Target="https://elpais.com/elpais/2018/11/21/opinion/1542806031_921444.html?id_externo_rsoc=TW_CC" TargetMode="External"/><Relationship Id="rId1343" Type="http://schemas.openxmlformats.org/officeDocument/2006/relationships/hyperlink" Target="http://jacoboahufinger.blogspot.com.es/" TargetMode="External"/><Relationship Id="rId1550" Type="http://schemas.openxmlformats.org/officeDocument/2006/relationships/hyperlink" Target="http://coctelbolsa.webnode.es/" TargetMode="External"/><Relationship Id="rId1648" Type="http://schemas.openxmlformats.org/officeDocument/2006/relationships/hyperlink" Target="https://pbs.twimg.com/media/Dsd9qBYXoAE03un.jpg" TargetMode="External"/><Relationship Id="rId2601" Type="http://schemas.openxmlformats.org/officeDocument/2006/relationships/hyperlink" Target="https://www.youtube.com/attribution_link?a=h4u4LcXaGrE&amp;u=%2Fwatch%3Fv%3DLsX38asmDmU%26feature%3Dshare" TargetMode="External"/><Relationship Id="rId1203" Type="http://schemas.openxmlformats.org/officeDocument/2006/relationships/hyperlink" Target="https://elpais.com/elpais/2018/11/21/opinion/1542806031_921444.html?id_externo_rsoc=TW_CC" TargetMode="External"/><Relationship Id="rId1410" Type="http://schemas.openxmlformats.org/officeDocument/2006/relationships/hyperlink" Target="https://twitter.com/_nifIheim/status/1065372682001227777" TargetMode="External"/><Relationship Id="rId1508" Type="http://schemas.openxmlformats.org/officeDocument/2006/relationships/hyperlink" Target="https://elpais.com/elpais/2018/11/21/opinion/1542806031_921444.html" TargetMode="External"/><Relationship Id="rId1855" Type="http://schemas.openxmlformats.org/officeDocument/2006/relationships/hyperlink" Target="https://gu.com/p/9qt5q?CMP=share_btn_fb" TargetMode="External"/><Relationship Id="rId2906" Type="http://schemas.openxmlformats.org/officeDocument/2006/relationships/hyperlink" Target="http://www.libredirectotalavera.es/" TargetMode="External"/><Relationship Id="rId1715" Type="http://schemas.openxmlformats.org/officeDocument/2006/relationships/hyperlink" Target="http://podemos.info/" TargetMode="External"/><Relationship Id="rId1922" Type="http://schemas.openxmlformats.org/officeDocument/2006/relationships/hyperlink" Target="http://periodismoalpilpil.blogspot.com.es/" TargetMode="External"/><Relationship Id="rId296" Type="http://schemas.openxmlformats.org/officeDocument/2006/relationships/hyperlink" Target="https://ift.tt/2R7IVDL" TargetMode="External"/><Relationship Id="rId2184" Type="http://schemas.openxmlformats.org/officeDocument/2006/relationships/hyperlink" Target="https://twitter.com/pnique/status/1065189164335935488" TargetMode="External"/><Relationship Id="rId2391" Type="http://schemas.openxmlformats.org/officeDocument/2006/relationships/hyperlink" Target="https://georgeorwell67.blogspot.com/" TargetMode="External"/><Relationship Id="rId156" Type="http://schemas.openxmlformats.org/officeDocument/2006/relationships/hyperlink" Target="http://shr.gs/KZ0Ro1E" TargetMode="External"/><Relationship Id="rId363" Type="http://schemas.openxmlformats.org/officeDocument/2006/relationships/hyperlink" Target="http://www.masby.net/informacion-web.html" TargetMode="External"/><Relationship Id="rId570" Type="http://schemas.openxmlformats.org/officeDocument/2006/relationships/hyperlink" Target="https://twitter.com/ldpsincomplejos/status/1065607926079983616" TargetMode="External"/><Relationship Id="rId2044" Type="http://schemas.openxmlformats.org/officeDocument/2006/relationships/hyperlink" Target="https://indenets.com/" TargetMode="External"/><Relationship Id="rId2251" Type="http://schemas.openxmlformats.org/officeDocument/2006/relationships/hyperlink" Target="https://m.eldiario.es/_31f0143c" TargetMode="External"/><Relationship Id="rId2489" Type="http://schemas.openxmlformats.org/officeDocument/2006/relationships/hyperlink" Target="http://elperiodi.co/dbkmz3" TargetMode="External"/><Relationship Id="rId2696" Type="http://schemas.openxmlformats.org/officeDocument/2006/relationships/hyperlink" Target="https://goo.gl/ujmtRr" TargetMode="External"/><Relationship Id="rId223" Type="http://schemas.openxmlformats.org/officeDocument/2006/relationships/hyperlink" Target="http://elotrokiosko.net/" TargetMode="External"/><Relationship Id="rId430" Type="http://schemas.openxmlformats.org/officeDocument/2006/relationships/hyperlink" Target="http://www.futbolaragones.com/" TargetMode="External"/><Relationship Id="rId668" Type="http://schemas.openxmlformats.org/officeDocument/2006/relationships/hyperlink" Target="https://elpais.com/internacional/2018/11/21/actualidad/1542818427_265277.html?id_externo_rsoc=TW_CC" TargetMode="External"/><Relationship Id="rId875" Type="http://schemas.openxmlformats.org/officeDocument/2006/relationships/hyperlink" Target="https://twitter.com/manuperez2002/status/1065638895168221190" TargetMode="External"/><Relationship Id="rId1060" Type="http://schemas.openxmlformats.org/officeDocument/2006/relationships/hyperlink" Target="http://www.celag.org/" TargetMode="External"/><Relationship Id="rId1298" Type="http://schemas.openxmlformats.org/officeDocument/2006/relationships/hyperlink" Target="http://alconabogados.com/" TargetMode="External"/><Relationship Id="rId2111" Type="http://schemas.openxmlformats.org/officeDocument/2006/relationships/hyperlink" Target="https://pbs.twimg.com/media/DsiAdiMWoAIodzz.jpg" TargetMode="External"/><Relationship Id="rId2349" Type="http://schemas.openxmlformats.org/officeDocument/2006/relationships/hyperlink" Target="https://www.elmundo.es/andalucia/2018/11/21/5bf46ba046163f4da28b4607.html" TargetMode="External"/><Relationship Id="rId2556" Type="http://schemas.openxmlformats.org/officeDocument/2006/relationships/hyperlink" Target="https://okdiario.com/espana/2018/11/20/pablo-iglesias-probable-que-tengamos-elecciones-muy-pronto-3371983" TargetMode="External"/><Relationship Id="rId2763" Type="http://schemas.openxmlformats.org/officeDocument/2006/relationships/hyperlink" Target="https://youtu.be/ixEpKFp5fKw" TargetMode="External"/><Relationship Id="rId2970" Type="http://schemas.openxmlformats.org/officeDocument/2006/relationships/hyperlink" Target="https://pbs.twimg.com/media/Dsck2R8WsAAV9Bx.jpg" TargetMode="External"/><Relationship Id="rId528" Type="http://schemas.openxmlformats.org/officeDocument/2006/relationships/hyperlink" Target="https://m.eldiario.es/_31fba808" TargetMode="External"/><Relationship Id="rId735" Type="http://schemas.openxmlformats.org/officeDocument/2006/relationships/hyperlink" Target="https://twitter.com/Ashton5SOS/status/557351971762343939?s=19" TargetMode="External"/><Relationship Id="rId942" Type="http://schemas.openxmlformats.org/officeDocument/2006/relationships/hyperlink" Target="https://youtu.be/Vn5QOJG3_SM" TargetMode="External"/><Relationship Id="rId1158" Type="http://schemas.openxmlformats.org/officeDocument/2006/relationships/hyperlink" Target="https://elpais.com/elpais/2018/11/21/opinion/1542806031_921444.html" TargetMode="External"/><Relationship Id="rId1365" Type="http://schemas.openxmlformats.org/officeDocument/2006/relationships/hyperlink" Target="http://elpais.com/autor/jose_maria_jimenez_galvez/a/" TargetMode="External"/><Relationship Id="rId1572" Type="http://schemas.openxmlformats.org/officeDocument/2006/relationships/hyperlink" Target="https://elpais.com/elpais/2018/11/21/opinion/1542806031_921444.html?id_externo_rsoc=TW_CC" TargetMode="External"/><Relationship Id="rId2209" Type="http://schemas.openxmlformats.org/officeDocument/2006/relationships/hyperlink" Target="https://twitter.com/pnique/status/1065189164335935488" TargetMode="External"/><Relationship Id="rId2416" Type="http://schemas.openxmlformats.org/officeDocument/2006/relationships/hyperlink" Target="https://www.periodistadigital.com/economia/vivienda/2018/11/19/el-registro-de-galapagar-oculta-los-datos-del-chalet-millonario-de-pablo-iglesias.shtml" TargetMode="External"/><Relationship Id="rId2623" Type="http://schemas.openxmlformats.org/officeDocument/2006/relationships/hyperlink" Target="http://rtn.com/" TargetMode="External"/><Relationship Id="rId1018" Type="http://schemas.openxmlformats.org/officeDocument/2006/relationships/hyperlink" Target="https://twitter.com/cristiancrespoj/status/1065325789678366720" TargetMode="External"/><Relationship Id="rId1225" Type="http://schemas.openxmlformats.org/officeDocument/2006/relationships/hyperlink" Target="https://bit.ly/2R9T9DK" TargetMode="External"/><Relationship Id="rId1432" Type="http://schemas.openxmlformats.org/officeDocument/2006/relationships/hyperlink" Target="http://www.circulodemontcada.com/" TargetMode="External"/><Relationship Id="rId1877" Type="http://schemas.openxmlformats.org/officeDocument/2006/relationships/hyperlink" Target="https://www.publico.es/politica/sanchez-distancia-iglesias-descarta-suspender-privatizacion-bankia.html" TargetMode="External"/><Relationship Id="rId2830" Type="http://schemas.openxmlformats.org/officeDocument/2006/relationships/hyperlink" Target="https://twitter.com/ANDRES_CANO42/status/1064559619543048192" TargetMode="External"/><Relationship Id="rId2928" Type="http://schemas.openxmlformats.org/officeDocument/2006/relationships/hyperlink" Target="https://pbs.twimg.com/media/Dscu47qXgAEJz5K.jpg" TargetMode="External"/><Relationship Id="rId71" Type="http://schemas.openxmlformats.org/officeDocument/2006/relationships/hyperlink" Target="http://republica.com/" TargetMode="External"/><Relationship Id="rId802" Type="http://schemas.openxmlformats.org/officeDocument/2006/relationships/hyperlink" Target="https://elpais.com/elpais/2018/11/21/opinion/1542806031_921444.html?id_externo_rsoc=TW_CC" TargetMode="External"/><Relationship Id="rId1737" Type="http://schemas.openxmlformats.org/officeDocument/2006/relationships/hyperlink" Target="https://www.instagram.com/pabloheraspuente/" TargetMode="External"/><Relationship Id="rId1944" Type="http://schemas.openxmlformats.org/officeDocument/2006/relationships/hyperlink" Target="https://pbs.twimg.com/media/DsjJ4heXcAIBhkv.jpg" TargetMode="External"/><Relationship Id="rId29" Type="http://schemas.openxmlformats.org/officeDocument/2006/relationships/hyperlink" Target="http://madrid.abc.es/sjtoz2" TargetMode="External"/><Relationship Id="rId178" Type="http://schemas.openxmlformats.org/officeDocument/2006/relationships/hyperlink" Target="https://ift.tt/2DFhNIf" TargetMode="External"/><Relationship Id="rId1804" Type="http://schemas.openxmlformats.org/officeDocument/2006/relationships/hyperlink" Target="https://www.youtube.com/channel/UCS9vC-nw0DJK2He-wG9Wlsw" TargetMode="External"/><Relationship Id="rId385" Type="http://schemas.openxmlformats.org/officeDocument/2006/relationships/hyperlink" Target="https://twitter.com/jitorreblanca/status/1065620157656109058" TargetMode="External"/><Relationship Id="rId592" Type="http://schemas.openxmlformats.org/officeDocument/2006/relationships/hyperlink" Target="https://twitter.com/ronanburtenshaw/status/1065172972527370240" TargetMode="External"/><Relationship Id="rId2066" Type="http://schemas.openxmlformats.org/officeDocument/2006/relationships/hyperlink" Target="https://www.periodistadigital.com/periodismo/tv/2018/11/20/pedro-sanchez-pablo-iglesias-presupuestos-elecciones-ferreras-gobierno.shtml" TargetMode="External"/><Relationship Id="rId2273" Type="http://schemas.openxmlformats.org/officeDocument/2006/relationships/hyperlink" Target="http://poletika.org/" TargetMode="External"/><Relationship Id="rId2480" Type="http://schemas.openxmlformats.org/officeDocument/2006/relationships/hyperlink" Target="https://www.facebook.com/Psychic-Readings-in-Texas-209420539505018/" TargetMode="External"/><Relationship Id="rId245" Type="http://schemas.openxmlformats.org/officeDocument/2006/relationships/hyperlink" Target="https://www.theguardian.com/world/ng-interactive/2018/nov/21/how-populist-are-you-quiz" TargetMode="External"/><Relationship Id="rId452" Type="http://schemas.openxmlformats.org/officeDocument/2006/relationships/hyperlink" Target="http://www.ugt.es/fflc/" TargetMode="External"/><Relationship Id="rId897" Type="http://schemas.openxmlformats.org/officeDocument/2006/relationships/hyperlink" Target="https://informalia.eleconomista.es/informalia/actualidad/noticias/9536886/11/18/Pablo-Iglesias-propone-una-boda-roja-soft-para-la-monarquia-y-reivindica-la-republica.html" TargetMode="External"/><Relationship Id="rId1082" Type="http://schemas.openxmlformats.org/officeDocument/2006/relationships/hyperlink" Target="http://blogs.libertaddigital.com/enigmas-del-11-m/" TargetMode="External"/><Relationship Id="rId2133" Type="http://schemas.openxmlformats.org/officeDocument/2006/relationships/hyperlink" Target="http://canarias-semanal.org/art/23954/pablo-iglesias-la-bandera-tricolor-es-el-simbolo-de-los-perdedores-y-no-volvera-a-resurgir" TargetMode="External"/><Relationship Id="rId2340" Type="http://schemas.openxmlformats.org/officeDocument/2006/relationships/hyperlink" Target="https://pbs.twimg.com/media/Dsg2sy2XQAUUiAZ.jpg" TargetMode="External"/><Relationship Id="rId2578" Type="http://schemas.openxmlformats.org/officeDocument/2006/relationships/hyperlink" Target="https://twitter.com/ccifuentes/status/1064846318798032896" TargetMode="External"/><Relationship Id="rId2785" Type="http://schemas.openxmlformats.org/officeDocument/2006/relationships/hyperlink" Target="https://pbs.twimg.com/media/DsdTVCyWkAYEP2e.jpg" TargetMode="External"/><Relationship Id="rId105" Type="http://schemas.openxmlformats.org/officeDocument/2006/relationships/hyperlink" Target="https://puntodeemancipacion.com/2018/11/23/conversacion-con-pablo-iglesias/" TargetMode="External"/><Relationship Id="rId312" Type="http://schemas.openxmlformats.org/officeDocument/2006/relationships/hyperlink" Target="http://www.elmundo.es/" TargetMode="External"/><Relationship Id="rId757" Type="http://schemas.openxmlformats.org/officeDocument/2006/relationships/hyperlink" Target="https://pbs.twimg.com/media/Dsoam_DU8AA31vm.jpg" TargetMode="External"/><Relationship Id="rId964" Type="http://schemas.openxmlformats.org/officeDocument/2006/relationships/hyperlink" Target="http://esradio.libertaddigital.com/es-la-tarde-de-dieter/" TargetMode="External"/><Relationship Id="rId1387" Type="http://schemas.openxmlformats.org/officeDocument/2006/relationships/hyperlink" Target="https://elpais.com/elpais/2018/11/21/opinion/1542806031_921444.amp.html?__twitter_impression=true" TargetMode="External"/><Relationship Id="rId1594" Type="http://schemas.openxmlformats.org/officeDocument/2006/relationships/hyperlink" Target="https://elpais.com/elpais/2018/11/21/opinion/1542806031_921444.html?id_externo_rsoc=TW_CC" TargetMode="External"/><Relationship Id="rId2200" Type="http://schemas.openxmlformats.org/officeDocument/2006/relationships/hyperlink" Target="https://pbs.twimg.com/media/DshjSZxXcAAv6tZ.jpg" TargetMode="External"/><Relationship Id="rId2438" Type="http://schemas.openxmlformats.org/officeDocument/2006/relationships/hyperlink" Target="https://www.elmundo.es/andalucia/2018/11/21/5bf46ba046163f4da28b4607.html" TargetMode="External"/><Relationship Id="rId2645" Type="http://schemas.openxmlformats.org/officeDocument/2006/relationships/hyperlink" Target="https://m.eldiario.es/tecnologia/partidos-enviarte-propaganda-politica-consentimiento_0_837466634.html" TargetMode="External"/><Relationship Id="rId2852" Type="http://schemas.openxmlformats.org/officeDocument/2006/relationships/hyperlink" Target="https://youtu.be/LsX38asmDmU" TargetMode="External"/><Relationship Id="rId93" Type="http://schemas.openxmlformats.org/officeDocument/2006/relationships/hyperlink" Target="http://atres.red/4ncii5744" TargetMode="External"/><Relationship Id="rId617" Type="http://schemas.openxmlformats.org/officeDocument/2006/relationships/hyperlink" Target="http://elviejopuma.blogspot.com/" TargetMode="External"/><Relationship Id="rId824" Type="http://schemas.openxmlformats.org/officeDocument/2006/relationships/hyperlink" Target="https://twitter.com/" TargetMode="External"/><Relationship Id="rId1247" Type="http://schemas.openxmlformats.org/officeDocument/2006/relationships/hyperlink" Target="https://elpais.com/elpais/2018/11/21/opinion/1542806031_921444.html" TargetMode="External"/><Relationship Id="rId1454" Type="http://schemas.openxmlformats.org/officeDocument/2006/relationships/hyperlink" Target="http://www.tuttoenbilbao.com/" TargetMode="External"/><Relationship Id="rId1661" Type="http://schemas.openxmlformats.org/officeDocument/2006/relationships/hyperlink" Target="http://elblogdejuanvi.blogspot.com/" TargetMode="External"/><Relationship Id="rId1899" Type="http://schemas.openxmlformats.org/officeDocument/2006/relationships/hyperlink" Target="https://www.cursowp-online.com/" TargetMode="External"/><Relationship Id="rId2505" Type="http://schemas.openxmlformats.org/officeDocument/2006/relationships/hyperlink" Target="https://pbs.twimg.com/media/DsbjdvKXoAAkt3Q.jpg" TargetMode="External"/><Relationship Id="rId2712" Type="http://schemas.openxmlformats.org/officeDocument/2006/relationships/hyperlink" Target="https://twitter.com/pnique/status/1064925019451678720" TargetMode="External"/><Relationship Id="rId1107" Type="http://schemas.openxmlformats.org/officeDocument/2006/relationships/hyperlink" Target="https://elpais.com/elpais/2018/11/21/opinion/1542806031_921444.html?id_externo_rsoc=TW_CC" TargetMode="External"/><Relationship Id="rId1314" Type="http://schemas.openxmlformats.org/officeDocument/2006/relationships/hyperlink" Target="https://elpais.com/elpais/2018/11/21/opinion/1542806031_921444.html?id_externo_rsoc=TW_CC" TargetMode="External"/><Relationship Id="rId1521" Type="http://schemas.openxmlformats.org/officeDocument/2006/relationships/hyperlink" Target="https://elpais.com/elpais/2018/11/21/opinion/1542806031_921444.html?id_externo_rsoc=TW_CC" TargetMode="External"/><Relationship Id="rId1759" Type="http://schemas.openxmlformats.org/officeDocument/2006/relationships/hyperlink" Target="http://www.bitmomentum.com/" TargetMode="External"/><Relationship Id="rId1966" Type="http://schemas.openxmlformats.org/officeDocument/2006/relationships/hyperlink" Target="https://youtu.be/GI65GdDbRyk" TargetMode="External"/><Relationship Id="rId1619" Type="http://schemas.openxmlformats.org/officeDocument/2006/relationships/hyperlink" Target="https://elpais.com/elpais/2018/11/21/opinion/1542806031_921444.amp.html?id_externo_rsoc=TW_CM&amp;__twitter_impression=true" TargetMode="External"/><Relationship Id="rId1826" Type="http://schemas.openxmlformats.org/officeDocument/2006/relationships/hyperlink" Target="http://youtu.be/hDs2VA9IlgU?a" TargetMode="External"/><Relationship Id="rId20" Type="http://schemas.openxmlformats.org/officeDocument/2006/relationships/hyperlink" Target="https://mundo.sputniknews.com/" TargetMode="External"/><Relationship Id="rId2088" Type="http://schemas.openxmlformats.org/officeDocument/2006/relationships/hyperlink" Target="https://pbs.twimg.com/media/DsiJwU-X4AAbeU3.png" TargetMode="External"/><Relationship Id="rId2295" Type="http://schemas.openxmlformats.org/officeDocument/2006/relationships/hyperlink" Target="https://pbs.twimg.com/media/Dsg2sy2XQAUUiAZ.jpg" TargetMode="External"/><Relationship Id="rId267" Type="http://schemas.openxmlformats.org/officeDocument/2006/relationships/hyperlink" Target="http://www.convivenciaysolidaridad.blogspot.com/" TargetMode="External"/><Relationship Id="rId474" Type="http://schemas.openxmlformats.org/officeDocument/2006/relationships/hyperlink" Target="https://pbs.twimg.com/media/DsrFcXIV4AEGTtd.jpg" TargetMode="External"/><Relationship Id="rId2155" Type="http://schemas.openxmlformats.org/officeDocument/2006/relationships/hyperlink" Target="https://www.elmundo.es/economia/macroeconomia/2018/11/21/5bf542fa46163f8e9e8b4669.html" TargetMode="External"/><Relationship Id="rId127" Type="http://schemas.openxmlformats.org/officeDocument/2006/relationships/hyperlink" Target="https://www.facebook.com/permalink.php?story_fbid=2174294372791113&amp;id=100006317147425" TargetMode="External"/><Relationship Id="rId681" Type="http://schemas.openxmlformats.org/officeDocument/2006/relationships/hyperlink" Target="http://bit.ly/rafaesp" TargetMode="External"/><Relationship Id="rId779" Type="http://schemas.openxmlformats.org/officeDocument/2006/relationships/hyperlink" Target="https://www.plazapublica.com.gt/content/la-ciudad-de-el-adelantado-es-un-pueblo-fronterizo" TargetMode="External"/><Relationship Id="rId986" Type="http://schemas.openxmlformats.org/officeDocument/2006/relationships/hyperlink" Target="https://twitter.com/jitorreblanca/status/1065620157656109058" TargetMode="External"/><Relationship Id="rId2362" Type="http://schemas.openxmlformats.org/officeDocument/2006/relationships/hyperlink" Target="https://pbs.twimg.com/media/Dsg1Pz7XgAArE1H.jpg" TargetMode="External"/><Relationship Id="rId2667" Type="http://schemas.openxmlformats.org/officeDocument/2006/relationships/hyperlink" Target="https://twitter.com/acaipteixeiro/status/1064538872279912453" TargetMode="External"/><Relationship Id="rId334" Type="http://schemas.openxmlformats.org/officeDocument/2006/relationships/hyperlink" Target="https://pbs.twimg.com/media/DsrdnOFWwAAXzls.jpg" TargetMode="External"/><Relationship Id="rId541" Type="http://schemas.openxmlformats.org/officeDocument/2006/relationships/hyperlink" Target="http://ediazrms.wordpress.com/" TargetMode="External"/><Relationship Id="rId639" Type="http://schemas.openxmlformats.org/officeDocument/2006/relationships/hyperlink" Target="https://pbs.twimg.com/media/Dsotr9HXcAA16pW.jpg" TargetMode="External"/><Relationship Id="rId1171" Type="http://schemas.openxmlformats.org/officeDocument/2006/relationships/hyperlink" Target="https://www.facebook.com/eugeniodelacruzsilva" TargetMode="External"/><Relationship Id="rId1269" Type="http://schemas.openxmlformats.org/officeDocument/2006/relationships/hyperlink" Target="https://elpais.com/elpais/2018/11/21/opinion/1542806031_921444.html" TargetMode="External"/><Relationship Id="rId1476" Type="http://schemas.openxmlformats.org/officeDocument/2006/relationships/hyperlink" Target="https://medium.com/@quilombosfera/" TargetMode="External"/><Relationship Id="rId2015" Type="http://schemas.openxmlformats.org/officeDocument/2006/relationships/hyperlink" Target="https://pbs.twimg.com/media/DsitL6TXgAEq7nK.jpg" TargetMode="External"/><Relationship Id="rId2222" Type="http://schemas.openxmlformats.org/officeDocument/2006/relationships/hyperlink" Target="https://twitter.com/Pablo_Iglesias_/status/1064896140020252672" TargetMode="External"/><Relationship Id="rId2874" Type="http://schemas.openxmlformats.org/officeDocument/2006/relationships/hyperlink" Target="http://youtu.be/LsX38asmDmU?a" TargetMode="External"/><Relationship Id="rId401" Type="http://schemas.openxmlformats.org/officeDocument/2006/relationships/hyperlink" Target="http://cadenaser.com/programa/2018/11/22/hoy_por_hoy/1542900365_285470.html" TargetMode="External"/><Relationship Id="rId846" Type="http://schemas.openxmlformats.org/officeDocument/2006/relationships/hyperlink" Target="http://serraniadepalabras.blogspot.com/" TargetMode="External"/><Relationship Id="rId1031" Type="http://schemas.openxmlformats.org/officeDocument/2006/relationships/hyperlink" Target="http://jodemoscastrourdiales.ml/" TargetMode="External"/><Relationship Id="rId1129" Type="http://schemas.openxmlformats.org/officeDocument/2006/relationships/hyperlink" Target="https://www.instagram.com/byron.art/?hl=es" TargetMode="External"/><Relationship Id="rId1683" Type="http://schemas.openxmlformats.org/officeDocument/2006/relationships/hyperlink" Target="https://elpais.com/elpais/2018/11/21/opinion/1542806031_921444.html" TargetMode="External"/><Relationship Id="rId1890" Type="http://schemas.openxmlformats.org/officeDocument/2006/relationships/hyperlink" Target="https://www.elconfidencial.com/espana/2018-11-18/desencanto-podemos-circulos-pablo-iglesias-carmena_1653050/?utm_source=facebook&amp;utm_medium=social&amp;utm_campaign=BotoneraWeb" TargetMode="External"/><Relationship Id="rId1988" Type="http://schemas.openxmlformats.org/officeDocument/2006/relationships/hyperlink" Target="https://twitter.com/Pablo_Iglesias_/status/1061577868193472512" TargetMode="External"/><Relationship Id="rId2527" Type="http://schemas.openxmlformats.org/officeDocument/2006/relationships/hyperlink" Target="https://pbs.twimg.com/media/Dsd6xTwXcAAjUvE.jpg" TargetMode="External"/><Relationship Id="rId2734" Type="http://schemas.openxmlformats.org/officeDocument/2006/relationships/hyperlink" Target="https://www.elmundo.es/espana/2018/11/20/5bf407ae46163f14b08b460e.html" TargetMode="External"/><Relationship Id="rId2941" Type="http://schemas.openxmlformats.org/officeDocument/2006/relationships/hyperlink" Target="https://blogs.elconfidencial.com/espana/caza-mayor/2018-11-19/pablo-iglesias-amortizado_1653682/?utm_source=twitter&amp;utm_medium=social&amp;utm_campaign=BotoneraWeb" TargetMode="External"/><Relationship Id="rId706" Type="http://schemas.openxmlformats.org/officeDocument/2006/relationships/hyperlink" Target="https://www.facebook.com/francisco.romero.520" TargetMode="External"/><Relationship Id="rId913" Type="http://schemas.openxmlformats.org/officeDocument/2006/relationships/hyperlink" Target="https://pbs.twimg.com/media/Dsn2lrCWsAET_W7.jpg" TargetMode="External"/><Relationship Id="rId1336" Type="http://schemas.openxmlformats.org/officeDocument/2006/relationships/hyperlink" Target="https://elpais.com/elpais/2018/11/21/opinion/1542806031_921444.html" TargetMode="External"/><Relationship Id="rId1543" Type="http://schemas.openxmlformats.org/officeDocument/2006/relationships/hyperlink" Target="https://elpais.com/elpais/2018/11/21/opinion/1542806031_921444.html" TargetMode="External"/><Relationship Id="rId1750" Type="http://schemas.openxmlformats.org/officeDocument/2006/relationships/hyperlink" Target="https://pbs.twimg.com/media/DsN_NtoWoAQbwre.jpg" TargetMode="External"/><Relationship Id="rId2801" Type="http://schemas.openxmlformats.org/officeDocument/2006/relationships/hyperlink" Target="https://twitter.com/pnique/status/1064452020613062658" TargetMode="External"/><Relationship Id="rId42" Type="http://schemas.openxmlformats.org/officeDocument/2006/relationships/hyperlink" Target="https://twitter.com/josemssantos" TargetMode="External"/><Relationship Id="rId1403" Type="http://schemas.openxmlformats.org/officeDocument/2006/relationships/hyperlink" Target="https://elpais.com/elpais/2018/11/21/opinion/1542806031_921444.html?id_externo_rsoc=TW_CC" TargetMode="External"/><Relationship Id="rId1610" Type="http://schemas.openxmlformats.org/officeDocument/2006/relationships/hyperlink" Target="https://elpais.com/elpais/2018/11/21/opinion/1542806031_921444.html" TargetMode="External"/><Relationship Id="rId1848" Type="http://schemas.openxmlformats.org/officeDocument/2006/relationships/hyperlink" Target="https://youtu.be/JiPTw8JIwkU" TargetMode="External"/><Relationship Id="rId191" Type="http://schemas.openxmlformats.org/officeDocument/2006/relationships/hyperlink" Target="https://comentaconjose.blogspot.com.es/" TargetMode="External"/><Relationship Id="rId1708" Type="http://schemas.openxmlformats.org/officeDocument/2006/relationships/hyperlink" Target="https://elpais.com/elpais/2018/11/21/opinion/1542806031_921444.html" TargetMode="External"/><Relationship Id="rId1915" Type="http://schemas.openxmlformats.org/officeDocument/2006/relationships/hyperlink" Target="https://twitter.com/nosoylagente/status/1065332685046870016" TargetMode="External"/><Relationship Id="rId289" Type="http://schemas.openxmlformats.org/officeDocument/2006/relationships/hyperlink" Target="http://www.madridiario.es/" TargetMode="External"/><Relationship Id="rId496" Type="http://schemas.openxmlformats.org/officeDocument/2006/relationships/hyperlink" Target="https://elpais.com/elpais/2018/11/21/opinion/1542806031_921444.html" TargetMode="External"/><Relationship Id="rId2177" Type="http://schemas.openxmlformats.org/officeDocument/2006/relationships/hyperlink" Target="https://www.elmundo.es/andalucia/2018/11/21/5bf46ba046163f4da28b4607.html" TargetMode="External"/><Relationship Id="rId2384" Type="http://schemas.openxmlformats.org/officeDocument/2006/relationships/hyperlink" Target="https://www.elmundo.es/andalucia/2018/11/21/5bf46ba046163f4da28b4607.html" TargetMode="External"/><Relationship Id="rId2591" Type="http://schemas.openxmlformats.org/officeDocument/2006/relationships/hyperlink" Target="http://a.msn.com/01/es-es/BBPULxB?ocid=st" TargetMode="External"/><Relationship Id="rId149" Type="http://schemas.openxmlformats.org/officeDocument/2006/relationships/hyperlink" Target="https://www.facebook.com/groups/1523383624657240/?fref=nf" TargetMode="External"/><Relationship Id="rId356" Type="http://schemas.openxmlformats.org/officeDocument/2006/relationships/hyperlink" Target="https://elagoradeivan.es/" TargetMode="External"/><Relationship Id="rId563" Type="http://schemas.openxmlformats.org/officeDocument/2006/relationships/hyperlink" Target="https://m.elimparcial.es/noticia/164133/pablo-iglesias-sin-personas-como-otegi-no-habria-paz.html" TargetMode="External"/><Relationship Id="rId770" Type="http://schemas.openxmlformats.org/officeDocument/2006/relationships/hyperlink" Target="https://www.theguardian.com/world/ng-interactive/2018/nov/21/how-populist-are-you-quiz" TargetMode="External"/><Relationship Id="rId1193" Type="http://schemas.openxmlformats.org/officeDocument/2006/relationships/hyperlink" Target="https://www.theguardian.com/world/ng-interactive/2018/nov/21/how-populist-are-you-quiz?CMP=share_btn_fb" TargetMode="External"/><Relationship Id="rId2037" Type="http://schemas.openxmlformats.org/officeDocument/2006/relationships/hyperlink" Target="http://podemos.info/" TargetMode="External"/><Relationship Id="rId2244" Type="http://schemas.openxmlformats.org/officeDocument/2006/relationships/hyperlink" Target="https://pbs.twimg.com/media/DshTX9dX4AApf98.jpg" TargetMode="External"/><Relationship Id="rId2451" Type="http://schemas.openxmlformats.org/officeDocument/2006/relationships/hyperlink" Target="https://pbs.twimg.com/media/DsN_6hqXQAELOpY.jpg" TargetMode="External"/><Relationship Id="rId2689" Type="http://schemas.openxmlformats.org/officeDocument/2006/relationships/hyperlink" Target="https://ugtcyl.es/web/concedidas-las-distinciones-pablo-iglesias-2017" TargetMode="External"/><Relationship Id="rId2896" Type="http://schemas.openxmlformats.org/officeDocument/2006/relationships/hyperlink" Target="http://www.europapress.es/nacional/noticia-diario-campana-electoral-directo-20151203222943.html" TargetMode="External"/><Relationship Id="rId216" Type="http://schemas.openxmlformats.org/officeDocument/2006/relationships/hyperlink" Target="http://riazordeportivo.blogspot.com.es/" TargetMode="External"/><Relationship Id="rId423" Type="http://schemas.openxmlformats.org/officeDocument/2006/relationships/hyperlink" Target="http://www.raulolivan.com/" TargetMode="External"/><Relationship Id="rId868" Type="http://schemas.openxmlformats.org/officeDocument/2006/relationships/hyperlink" Target="http://www.elentir.info/" TargetMode="External"/><Relationship Id="rId1053" Type="http://schemas.openxmlformats.org/officeDocument/2006/relationships/hyperlink" Target="https://twitter.com/ldpsincomplejos/status/1065607926079983616" TargetMode="External"/><Relationship Id="rId1260" Type="http://schemas.openxmlformats.org/officeDocument/2006/relationships/hyperlink" Target="http://bit.ly/2Tw2Aid" TargetMode="External"/><Relationship Id="rId1498" Type="http://schemas.openxmlformats.org/officeDocument/2006/relationships/hyperlink" Target="https://elpais.com/elpais/2018/11/21/opinion/1542806031_921444.html?id_externo_rsoc=TW_CC" TargetMode="External"/><Relationship Id="rId2104" Type="http://schemas.openxmlformats.org/officeDocument/2006/relationships/hyperlink" Target="https://spanishpolice.github.io/" TargetMode="External"/><Relationship Id="rId2549" Type="http://schemas.openxmlformats.org/officeDocument/2006/relationships/hyperlink" Target="https://curiouscat.me/sercott29" TargetMode="External"/><Relationship Id="rId2756" Type="http://schemas.openxmlformats.org/officeDocument/2006/relationships/hyperlink" Target="https://podemos.info/" TargetMode="External"/><Relationship Id="rId2963" Type="http://schemas.openxmlformats.org/officeDocument/2006/relationships/hyperlink" Target="http://www.montielbaraka.blogspot.com/" TargetMode="External"/><Relationship Id="rId630" Type="http://schemas.openxmlformats.org/officeDocument/2006/relationships/hyperlink" Target="https://elpais.com/elpais/2018/11/21/opinion/1542806031_921444.html?id_externo_rsoc=TW_CC" TargetMode="External"/><Relationship Id="rId728" Type="http://schemas.openxmlformats.org/officeDocument/2006/relationships/hyperlink" Target="https://www.eldiario.es/rastreador/Hermann-Tertsch-monarquia-Pablo-Iglesias_6_838576136.html" TargetMode="External"/><Relationship Id="rId935" Type="http://schemas.openxmlformats.org/officeDocument/2006/relationships/hyperlink" Target="https://pbs.twimg.com/media/Dsn1IhTXQAAbinP.jpg" TargetMode="External"/><Relationship Id="rId1358" Type="http://schemas.openxmlformats.org/officeDocument/2006/relationships/hyperlink" Target="https://pbs.twimg.com/media/DsmZmp5XoAAO5yW.jpg" TargetMode="External"/><Relationship Id="rId1565" Type="http://schemas.openxmlformats.org/officeDocument/2006/relationships/hyperlink" Target="http://societatanonima.wordpress.com/" TargetMode="External"/><Relationship Id="rId1772" Type="http://schemas.openxmlformats.org/officeDocument/2006/relationships/hyperlink" Target="https://www.theguardian.com/world/ng-interactive/2018/nov/21/how-populist-are-you-quiz" TargetMode="External"/><Relationship Id="rId2311" Type="http://schemas.openxmlformats.org/officeDocument/2006/relationships/hyperlink" Target="https://pbs.twimg.com/media/DshF6UeWoAA_tll.jpg" TargetMode="External"/><Relationship Id="rId2409" Type="http://schemas.openxmlformats.org/officeDocument/2006/relationships/hyperlink" Target="http://pic.twitter.com/jpzSxFT2PB" TargetMode="External"/><Relationship Id="rId2616" Type="http://schemas.openxmlformats.org/officeDocument/2006/relationships/hyperlink" Target="https://www.lasexta.com/programas/al-rojo-vivo/entrevistas/pablo-iglesias-el-gobierno-se-habria-podido-currar-mas-que-salgan-los-pge-no-podemos-hacerlo-todo-video_201811205bf4093f0cf2abe03a75241e.html" TargetMode="External"/><Relationship Id="rId64" Type="http://schemas.openxmlformats.org/officeDocument/2006/relationships/hyperlink" Target="https://noticierouniversal.com/actualidad/pablo-iglesias-a-manuela-carmena-no-seria-alcaldesa-sin-ellos/" TargetMode="External"/><Relationship Id="rId1120" Type="http://schemas.openxmlformats.org/officeDocument/2006/relationships/hyperlink" Target="https://elpais.com/elpais/2018/11/21/opinion/1542806031_921444.html" TargetMode="External"/><Relationship Id="rId1218" Type="http://schemas.openxmlformats.org/officeDocument/2006/relationships/hyperlink" Target="http://www.avatma.com/" TargetMode="External"/><Relationship Id="rId1425" Type="http://schemas.openxmlformats.org/officeDocument/2006/relationships/hyperlink" Target="https://elpais.com/elpais/2018/11/21/opinion/1542806031_921444.html" TargetMode="External"/><Relationship Id="rId2823" Type="http://schemas.openxmlformats.org/officeDocument/2006/relationships/hyperlink" Target="http://www.myspace.com/gallegoldh" TargetMode="External"/><Relationship Id="rId1632" Type="http://schemas.openxmlformats.org/officeDocument/2006/relationships/hyperlink" Target="https://pbs.twimg.com/media/Dsl3iQiXgAEbEP6.jpg" TargetMode="External"/><Relationship Id="rId1937" Type="http://schemas.openxmlformats.org/officeDocument/2006/relationships/hyperlink" Target="https://pbs.twimg.com/media/DshJpj6XQAAAkBh.jpg" TargetMode="External"/><Relationship Id="rId2199" Type="http://schemas.openxmlformats.org/officeDocument/2006/relationships/hyperlink" Target="https://ift.tt/2DPqGzT" TargetMode="External"/><Relationship Id="rId280" Type="http://schemas.openxmlformats.org/officeDocument/2006/relationships/hyperlink" Target="https://pbs.twimg.com/media/Dsrekh6X4AAtx-b.jpg" TargetMode="External"/><Relationship Id="rId140" Type="http://schemas.openxmlformats.org/officeDocument/2006/relationships/hyperlink" Target="https://www.elperiodicodearagon.com/noticias/opinion/cantabrico-mediterraneo-eje-corre-prisa_1325642.html" TargetMode="External"/><Relationship Id="rId378" Type="http://schemas.openxmlformats.org/officeDocument/2006/relationships/hyperlink" Target="https://pbs.twimg.com/media/DsrK0LLWsAA7z4R.jpg" TargetMode="External"/><Relationship Id="rId585" Type="http://schemas.openxmlformats.org/officeDocument/2006/relationships/hyperlink" Target="http://pic.twitter.com/VgV2jFEZlk" TargetMode="External"/><Relationship Id="rId792" Type="http://schemas.openxmlformats.org/officeDocument/2006/relationships/hyperlink" Target="http://www.lextres.com/" TargetMode="External"/><Relationship Id="rId2059" Type="http://schemas.openxmlformats.org/officeDocument/2006/relationships/hyperlink" Target="http://clioblogue.blogspot.com.es/" TargetMode="External"/><Relationship Id="rId2266" Type="http://schemas.openxmlformats.org/officeDocument/2006/relationships/hyperlink" Target="https://ift.tt/2S64PHw" TargetMode="External"/><Relationship Id="rId2473" Type="http://schemas.openxmlformats.org/officeDocument/2006/relationships/hyperlink" Target="http://youtu.be/TfEBQC7DhFo?a" TargetMode="External"/><Relationship Id="rId2680" Type="http://schemas.openxmlformats.org/officeDocument/2006/relationships/hyperlink" Target="http://www.diariodeavila.es/noticia/ZF673C294-DAEC-1A8C-B82478E8D0594D08/las-distinciones-pablo-iglesias-de-ugt-ya-tienen-premiados?utm_source=dlvr.it&amp;utm_medium=twitter" TargetMode="External"/><Relationship Id="rId6" Type="http://schemas.openxmlformats.org/officeDocument/2006/relationships/hyperlink" Target="https://pbs.twimg.com/media/DssgKf4W0AAICxP.jpg" TargetMode="External"/><Relationship Id="rId238" Type="http://schemas.openxmlformats.org/officeDocument/2006/relationships/hyperlink" Target="http://www.europapress.es/andalucia/" TargetMode="External"/><Relationship Id="rId445" Type="http://schemas.openxmlformats.org/officeDocument/2006/relationships/hyperlink" Target="http://www.triadacomunicacion.com/" TargetMode="External"/><Relationship Id="rId652" Type="http://schemas.openxmlformats.org/officeDocument/2006/relationships/hyperlink" Target="https://elpais.com/elpais/2018/11/21/opinion/1542806031_921444.html?id_externo_rsoc=TW_CC" TargetMode="External"/><Relationship Id="rId1075" Type="http://schemas.openxmlformats.org/officeDocument/2006/relationships/hyperlink" Target="http://shogunsalamanca.com/" TargetMode="External"/><Relationship Id="rId1282" Type="http://schemas.openxmlformats.org/officeDocument/2006/relationships/hyperlink" Target="https://elpais.com/elpais/2018/11/21/opinion/1542806031_921444.html?id_externo_rsoc=TW_CC" TargetMode="External"/><Relationship Id="rId2126" Type="http://schemas.openxmlformats.org/officeDocument/2006/relationships/hyperlink" Target="https://pbs.twimg.com/media/DshJpj6XQAAAkBh.jpg" TargetMode="External"/><Relationship Id="rId2333" Type="http://schemas.openxmlformats.org/officeDocument/2006/relationships/hyperlink" Target="https://www.elmundo.es/andalucia/2018/11/21/5bf46ba046163f4da28b4607.html" TargetMode="External"/><Relationship Id="rId2540" Type="http://schemas.openxmlformats.org/officeDocument/2006/relationships/hyperlink" Target="https://www.elmundo.es/espana/2018/11/20/5bf407ae46163f14b08b460e.html" TargetMode="External"/><Relationship Id="rId2778" Type="http://schemas.openxmlformats.org/officeDocument/2006/relationships/hyperlink" Target="https://www.elmundo.es/espana/2018/11/20/5bf407ae46163f14b08b460e.html" TargetMode="External"/><Relationship Id="rId2985" Type="http://schemas.openxmlformats.org/officeDocument/2006/relationships/hyperlink" Target="http://atres.red/4ncii5668" TargetMode="External"/><Relationship Id="rId305" Type="http://schemas.openxmlformats.org/officeDocument/2006/relationships/hyperlink" Target="https://elpais.com/elpais/2018/11/21/opinion/1542806031_921444.html?id_externo_rsoc=TW_CC" TargetMode="External"/><Relationship Id="rId512" Type="http://schemas.openxmlformats.org/officeDocument/2006/relationships/hyperlink" Target="http://www.periodistadigital.com/ocio-y-cultura/cine-y-teatro/2018/11/23/pepe-mujica-ex-presidnete-de-uruguay-pablo-iglesias-se-equivoco-no-tiene-vuelta.shtml" TargetMode="External"/><Relationship Id="rId957" Type="http://schemas.openxmlformats.org/officeDocument/2006/relationships/hyperlink" Target="https://youtu.be/RO3D17itzo0" TargetMode="External"/><Relationship Id="rId1142" Type="http://schemas.openxmlformats.org/officeDocument/2006/relationships/hyperlink" Target="https://elpais.com/elpais/2018/11/21/opinion/1542806031_921444.html?id_externo_rsoc=TW_CC" TargetMode="External"/><Relationship Id="rId1587" Type="http://schemas.openxmlformats.org/officeDocument/2006/relationships/hyperlink" Target="https://elpais.com/elpais/2018/11/21/opinion/1542806031_921444.html" TargetMode="External"/><Relationship Id="rId1794" Type="http://schemas.openxmlformats.org/officeDocument/2006/relationships/hyperlink" Target="https://twitter.com/yaizaguerrero99/status/1065264210660245504" TargetMode="External"/><Relationship Id="rId2400" Type="http://schemas.openxmlformats.org/officeDocument/2006/relationships/hyperlink" Target="http://fuentedebaco.blogspot.com/" TargetMode="External"/><Relationship Id="rId2638" Type="http://schemas.openxmlformats.org/officeDocument/2006/relationships/hyperlink" Target="http://pic.twitter.com/mC2lkrqm6z" TargetMode="External"/><Relationship Id="rId2845" Type="http://schemas.openxmlformats.org/officeDocument/2006/relationships/hyperlink" Target="https://www.youtube.com/channel/UC2OPRvShCwMeO__KHVyPl9w?sub_confirmation=1" TargetMode="External"/><Relationship Id="rId86" Type="http://schemas.openxmlformats.org/officeDocument/2006/relationships/hyperlink" Target="https://noticiasgibraltar.es/campo-gibraltar/noticias/3977/pablo-iglesias-no-apoyara-patrioterismos-extranos-gobierno-relacion" TargetMode="External"/><Relationship Id="rId817" Type="http://schemas.openxmlformats.org/officeDocument/2006/relationships/hyperlink" Target="https://pbs.twimg.com/media/Dsjk4rLXoAAhPfB.jpg" TargetMode="External"/><Relationship Id="rId1002" Type="http://schemas.openxmlformats.org/officeDocument/2006/relationships/hyperlink" Target="http://bit.ly/2QWoKIK" TargetMode="External"/><Relationship Id="rId1447" Type="http://schemas.openxmlformats.org/officeDocument/2006/relationships/hyperlink" Target="https://goo.gl/6u5HPy?bop26=1572720420" TargetMode="External"/><Relationship Id="rId1654" Type="http://schemas.openxmlformats.org/officeDocument/2006/relationships/hyperlink" Target="http://mallorca.podemos.info/" TargetMode="External"/><Relationship Id="rId1861" Type="http://schemas.openxmlformats.org/officeDocument/2006/relationships/hyperlink" Target="https://www.theguardian.com/world/ng-interactive/2018/nov/21/how-populist-are-you-quiz?CMP=twt_gu" TargetMode="External"/><Relationship Id="rId2705" Type="http://schemas.openxmlformats.org/officeDocument/2006/relationships/hyperlink" Target="http://youtu.be/nyKcBUxQ7Ww?a" TargetMode="External"/><Relationship Id="rId2912" Type="http://schemas.openxmlformats.org/officeDocument/2006/relationships/hyperlink" Target="https://pbs.twimg.com/media/DsYo6dlXQAI6SVm.jpg" TargetMode="External"/><Relationship Id="rId1307" Type="http://schemas.openxmlformats.org/officeDocument/2006/relationships/hyperlink" Target="https://elpais.com/elpais/2018/11/21/opinion/1542806031_921444.html?id_externo_rsoc=TW_CC" TargetMode="External"/><Relationship Id="rId1514" Type="http://schemas.openxmlformats.org/officeDocument/2006/relationships/hyperlink" Target="https://elpais.com/elpais/2018/11/21/opinion/1542806031_921444.html?id_externo_rsoc=TW_CC" TargetMode="External"/><Relationship Id="rId1721" Type="http://schemas.openxmlformats.org/officeDocument/2006/relationships/hyperlink" Target="http://www.plazadelcomercio.es/" TargetMode="External"/><Relationship Id="rId1959" Type="http://schemas.openxmlformats.org/officeDocument/2006/relationships/hyperlink" Target="https://kaosenlared.net/pablo-iglesiasla-bandera-tricolor-es-el-simbolo-de-los-perdedores-y-no-volvera-a-resurgir/" TargetMode="External"/><Relationship Id="rId13" Type="http://schemas.openxmlformats.org/officeDocument/2006/relationships/hyperlink" Target="https://www.elindependiente.com/politica/2018/11/23/pablo-iglesias-defiende-gibraltar-los-trabajadores-no-patrioterismos-extranos/?utm_source=share_buttons&amp;utm_medium=twitter&amp;utm_campaign=social_share2" TargetMode="External"/><Relationship Id="rId1819" Type="http://schemas.openxmlformats.org/officeDocument/2006/relationships/hyperlink" Target="https://pbs.twimg.com/media/Dsj6O1OXoAA8MDp.jpg" TargetMode="External"/><Relationship Id="rId2190" Type="http://schemas.openxmlformats.org/officeDocument/2006/relationships/hyperlink" Target="https://trib.al/5Rb4VNw" TargetMode="External"/><Relationship Id="rId2288" Type="http://schemas.openxmlformats.org/officeDocument/2006/relationships/hyperlink" Target="http://pic.twitter.com/E1szG71ueb" TargetMode="External"/><Relationship Id="rId2495" Type="http://schemas.openxmlformats.org/officeDocument/2006/relationships/hyperlink" Target="https://pbs.twimg.com/media/DlVw5FYXcAI90du.jpg" TargetMode="External"/><Relationship Id="rId162" Type="http://schemas.openxmlformats.org/officeDocument/2006/relationships/hyperlink" Target="http://bit.ly/2Dw4mu2" TargetMode="External"/><Relationship Id="rId467" Type="http://schemas.openxmlformats.org/officeDocument/2006/relationships/hyperlink" Target="http://cadenaser.com/programa/2018/11/22/hoy_por_hoy/1542900365_285470.html" TargetMode="External"/><Relationship Id="rId1097" Type="http://schemas.openxmlformats.org/officeDocument/2006/relationships/hyperlink" Target="https://osu.ppy.sh/u/7454607" TargetMode="External"/><Relationship Id="rId2050" Type="http://schemas.openxmlformats.org/officeDocument/2006/relationships/hyperlink" Target="https://pbs.twimg.com/media/DshJpj6XQAAAkBh.jpg" TargetMode="External"/><Relationship Id="rId2148" Type="http://schemas.openxmlformats.org/officeDocument/2006/relationships/hyperlink" Target="http://undrconstruction.com/" TargetMode="External"/><Relationship Id="rId674" Type="http://schemas.openxmlformats.org/officeDocument/2006/relationships/hyperlink" Target="https://www.instagram.com/pacomoronta" TargetMode="External"/><Relationship Id="rId881" Type="http://schemas.openxmlformats.org/officeDocument/2006/relationships/hyperlink" Target="https://huit.re/TodaviaLasNubes" TargetMode="External"/><Relationship Id="rId979" Type="http://schemas.openxmlformats.org/officeDocument/2006/relationships/hyperlink" Target="https://twitter.com/radioactivovel/status/1065618520493473792" TargetMode="External"/><Relationship Id="rId2355" Type="http://schemas.openxmlformats.org/officeDocument/2006/relationships/hyperlink" Target="https://www.youtube.com/saveyourinternet/?dclid=CNSW9auH5d4CFc_N3godI1MIEw" TargetMode="External"/><Relationship Id="rId2562" Type="http://schemas.openxmlformats.org/officeDocument/2006/relationships/hyperlink" Target="https://youtu.be/LsX38asmDmU" TargetMode="External"/><Relationship Id="rId327" Type="http://schemas.openxmlformats.org/officeDocument/2006/relationships/hyperlink" Target="https://elpais.com/elpais/2018/11/21/opinion/1542806031_921444.amp.html" TargetMode="External"/><Relationship Id="rId534" Type="http://schemas.openxmlformats.org/officeDocument/2006/relationships/hyperlink" Target="https://m.eldiario.es/_31fba808" TargetMode="External"/><Relationship Id="rId741" Type="http://schemas.openxmlformats.org/officeDocument/2006/relationships/hyperlink" Target="https://pbs.twimg.com/media/DslubFQXQAAofAn.jpg" TargetMode="External"/><Relationship Id="rId839" Type="http://schemas.openxmlformats.org/officeDocument/2006/relationships/hyperlink" Target="https://pbs.twimg.com/media/DsoFmJZXoAIVOuj.jpg" TargetMode="External"/><Relationship Id="rId1164" Type="http://schemas.openxmlformats.org/officeDocument/2006/relationships/hyperlink" Target="http://www.alcobendas.org/es/cargarFichaTerritorial.do?identificador=543" TargetMode="External"/><Relationship Id="rId1371" Type="http://schemas.openxmlformats.org/officeDocument/2006/relationships/hyperlink" Target="https://elpais.com/elpais/2018/11/21/opinion/1542806031_921444.html?id_externo_rsoc=TW_CC" TargetMode="External"/><Relationship Id="rId1469" Type="http://schemas.openxmlformats.org/officeDocument/2006/relationships/hyperlink" Target="https://elpais.com/elpais/2018/11/21/opinion/1542806031_921444.html?id_externo_rsoc=TW_CC" TargetMode="External"/><Relationship Id="rId2008" Type="http://schemas.openxmlformats.org/officeDocument/2006/relationships/hyperlink" Target="http://joseluisuriz.blogspot.com/2018/11/franco-lluch-un-ano-mas.html" TargetMode="External"/><Relationship Id="rId2215" Type="http://schemas.openxmlformats.org/officeDocument/2006/relationships/hyperlink" Target="https://pbs.twimg.com/media/Dshb7c0WoAAcOaf.jpg" TargetMode="External"/><Relationship Id="rId2422" Type="http://schemas.openxmlformats.org/officeDocument/2006/relationships/hyperlink" Target="http://www.periodistadigital.com/" TargetMode="External"/><Relationship Id="rId2867" Type="http://schemas.openxmlformats.org/officeDocument/2006/relationships/hyperlink" Target="http://www.lasexta.com/" TargetMode="External"/><Relationship Id="rId601" Type="http://schemas.openxmlformats.org/officeDocument/2006/relationships/hyperlink" Target="https://twitter.com/ronanburtenshaw/status/1065172972527370240" TargetMode="External"/><Relationship Id="rId1024" Type="http://schemas.openxmlformats.org/officeDocument/2006/relationships/hyperlink" Target="http://pic.twitter.com/ANQHylu7NO" TargetMode="External"/><Relationship Id="rId1231" Type="http://schemas.openxmlformats.org/officeDocument/2006/relationships/hyperlink" Target="http://pacienciaras.tumblr.com/" TargetMode="External"/><Relationship Id="rId1676" Type="http://schemas.openxmlformats.org/officeDocument/2006/relationships/hyperlink" Target="https://elpais.com/elpais/2018/11/21/opinion/1542806031_921444.html?id_externo_rsoc=TW_CC" TargetMode="External"/><Relationship Id="rId1883" Type="http://schemas.openxmlformats.org/officeDocument/2006/relationships/hyperlink" Target="https://pbs.twimg.com/media/DpeBNd0WsAAJh0W.jpg" TargetMode="External"/><Relationship Id="rId2727" Type="http://schemas.openxmlformats.org/officeDocument/2006/relationships/hyperlink" Target="http://www.losportadoresdesuenos.com/" TargetMode="External"/><Relationship Id="rId2934" Type="http://schemas.openxmlformats.org/officeDocument/2006/relationships/hyperlink" Target="https://ift.tt/2zhhJvu" TargetMode="External"/><Relationship Id="rId906" Type="http://schemas.openxmlformats.org/officeDocument/2006/relationships/hyperlink" Target="http://youtu.be/z_-EutmgmMA?a" TargetMode="External"/><Relationship Id="rId1329" Type="http://schemas.openxmlformats.org/officeDocument/2006/relationships/hyperlink" Target="https://www.linkedin.com/in/MoncasideAlvear/" TargetMode="External"/><Relationship Id="rId1536" Type="http://schemas.openxmlformats.org/officeDocument/2006/relationships/hyperlink" Target="https://elpais.com/elpais/2018/11/21/opinion/1542806031_921444.html?id_externo_rsoc=TW_CC" TargetMode="External"/><Relationship Id="rId1743" Type="http://schemas.openxmlformats.org/officeDocument/2006/relationships/hyperlink" Target="http://javiermarcosangulo.blogspot.com.es/" TargetMode="External"/><Relationship Id="rId1950" Type="http://schemas.openxmlformats.org/officeDocument/2006/relationships/hyperlink" Target="https://twitter.com/JosepBorrellF/status/1065308620898951174" TargetMode="External"/><Relationship Id="rId35" Type="http://schemas.openxmlformats.org/officeDocument/2006/relationships/hyperlink" Target="http://bit.ly/2FDevYK" TargetMode="External"/><Relationship Id="rId1603" Type="http://schemas.openxmlformats.org/officeDocument/2006/relationships/hyperlink" Target="https://elpais.com/elpais/2018/11/21/opinion/1542806031_921444.html" TargetMode="External"/><Relationship Id="rId1810" Type="http://schemas.openxmlformats.org/officeDocument/2006/relationships/hyperlink" Target="https://eltronodefroilan.wordpress.com/" TargetMode="External"/><Relationship Id="rId184" Type="http://schemas.openxmlformats.org/officeDocument/2006/relationships/hyperlink" Target="https://elpais.com/elpais/2018/11/21/opinion/1542806031_921444.html?id_externo_rsoc=TW_CC" TargetMode="External"/><Relationship Id="rId391" Type="http://schemas.openxmlformats.org/officeDocument/2006/relationships/hyperlink" Target="https://twitter.com/ronanburtenshaw/status/1065172972527370240" TargetMode="External"/><Relationship Id="rId1908" Type="http://schemas.openxmlformats.org/officeDocument/2006/relationships/hyperlink" Target="https://twitter.com/Pablo_Iglesias_/status/1064964257324957701" TargetMode="External"/><Relationship Id="rId2072" Type="http://schemas.openxmlformats.org/officeDocument/2006/relationships/hyperlink" Target="https://www.elsaltodiario.com/sector-del-juego/podemos-extremadura-denuncia-vulneracion-normativa-casas-apuestas-" TargetMode="External"/><Relationship Id="rId251" Type="http://schemas.openxmlformats.org/officeDocument/2006/relationships/hyperlink" Target="https://okdiario.com/investigacion/2016/01/13/tv-pablo-iglesias-recibido-93-millones-del-gobierno-iran-desde-paraisos-fiscales-52923?fbclid=IwAR3xiAnVUEmUNaOxinX_8euk_gaBk6msQkeCbGVNFMP7EPSgcb70bJJH6GY" TargetMode="External"/><Relationship Id="rId489" Type="http://schemas.openxmlformats.org/officeDocument/2006/relationships/hyperlink" Target="https://pbs.twimg.com/media/DsrD_n2U0AAxSAW.jpg" TargetMode="External"/><Relationship Id="rId696" Type="http://schemas.openxmlformats.org/officeDocument/2006/relationships/hyperlink" Target="https://pbs.twimg.com/media/DsorvwvX4AAtyAw.jpg" TargetMode="External"/><Relationship Id="rId2377" Type="http://schemas.openxmlformats.org/officeDocument/2006/relationships/hyperlink" Target="http://www.radiosporting.es/" TargetMode="External"/><Relationship Id="rId2584" Type="http://schemas.openxmlformats.org/officeDocument/2006/relationships/hyperlink" Target="https://pbs.twimg.com/media/DsbiY6fXQAAsPBc.jpg" TargetMode="External"/><Relationship Id="rId2791" Type="http://schemas.openxmlformats.org/officeDocument/2006/relationships/hyperlink" Target="https://okdiario.com/espana/2018/11/20/pablo-iglesias-probable-que-tengamos-elecciones-muy-pronto-3371983" TargetMode="External"/><Relationship Id="rId349" Type="http://schemas.openxmlformats.org/officeDocument/2006/relationships/hyperlink" Target="http://www.elplural.com/" TargetMode="External"/><Relationship Id="rId556" Type="http://schemas.openxmlformats.org/officeDocument/2006/relationships/hyperlink" Target="http://www.bitmomentum.com/" TargetMode="External"/><Relationship Id="rId763" Type="http://schemas.openxmlformats.org/officeDocument/2006/relationships/hyperlink" Target="https://elpais.com/elpais/2018/11/21/opinion/1542806031_921444.amp.html?__twitter_impression=true" TargetMode="External"/><Relationship Id="rId1186" Type="http://schemas.openxmlformats.org/officeDocument/2006/relationships/hyperlink" Target="https://elpais.com/elpais/2018/11/21/opinion/1542806031_921444.html?id_externo_rsoc=TW_CC" TargetMode="External"/><Relationship Id="rId1393" Type="http://schemas.openxmlformats.org/officeDocument/2006/relationships/hyperlink" Target="https://elpais.com/elpais/2018/11/21/opinion/1542806031_921444.html" TargetMode="External"/><Relationship Id="rId2237" Type="http://schemas.openxmlformats.org/officeDocument/2006/relationships/hyperlink" Target="https://www.elmundo.es/andalucia/2018/11/21/5bf46ba046163f4da28b4607.html" TargetMode="External"/><Relationship Id="rId2444" Type="http://schemas.openxmlformats.org/officeDocument/2006/relationships/hyperlink" Target="http://pic.twitter.com/2C9zdvfosz" TargetMode="External"/><Relationship Id="rId2889" Type="http://schemas.openxmlformats.org/officeDocument/2006/relationships/hyperlink" Target="https://pbs.twimg.com/media/Dscw_GuWoAAzNKX.jpg" TargetMode="External"/><Relationship Id="rId111" Type="http://schemas.openxmlformats.org/officeDocument/2006/relationships/hyperlink" Target="http://podemossevilla.info/" TargetMode="External"/><Relationship Id="rId209" Type="http://schemas.openxmlformats.org/officeDocument/2006/relationships/hyperlink" Target="http://www.libremercado.com/" TargetMode="External"/><Relationship Id="rId416" Type="http://schemas.openxmlformats.org/officeDocument/2006/relationships/hyperlink" Target="https://pbs.twimg.com/media/DsrNS9FWoAAyg1Q.jpg" TargetMode="External"/><Relationship Id="rId970" Type="http://schemas.openxmlformats.org/officeDocument/2006/relationships/hyperlink" Target="https://elpais.com/elpais/2018/11/21/opinion/1542806031_921444.html" TargetMode="External"/><Relationship Id="rId1046" Type="http://schemas.openxmlformats.org/officeDocument/2006/relationships/hyperlink" Target="http://confidencialandaluz.com/author/sanchezfornet/" TargetMode="External"/><Relationship Id="rId1253" Type="http://schemas.openxmlformats.org/officeDocument/2006/relationships/hyperlink" Target="https://pbs.twimg.com/media/DsmrxBNX4AEa7s6.jpg" TargetMode="External"/><Relationship Id="rId1698" Type="http://schemas.openxmlformats.org/officeDocument/2006/relationships/hyperlink" Target="http://about.me/xaviercassanyes" TargetMode="External"/><Relationship Id="rId2651" Type="http://schemas.openxmlformats.org/officeDocument/2006/relationships/hyperlink" Target="https://www.periodistadigital.com/periodismo/tv/2018/11/20/pedro-sanchez-pablo-iglesias-presupuestos-elecciones-ferreras-gobierno.shtml" TargetMode="External"/><Relationship Id="rId2749" Type="http://schemas.openxmlformats.org/officeDocument/2006/relationships/hyperlink" Target="https://twitter.com/NBCNews/status/1064282098851332096" TargetMode="External"/><Relationship Id="rId2956" Type="http://schemas.openxmlformats.org/officeDocument/2006/relationships/hyperlink" Target="http://talentaservices.com/" TargetMode="External"/><Relationship Id="rId623" Type="http://schemas.openxmlformats.org/officeDocument/2006/relationships/hyperlink" Target="http://www.bitmomentum.com/" TargetMode="External"/><Relationship Id="rId830" Type="http://schemas.openxmlformats.org/officeDocument/2006/relationships/hyperlink" Target="https://youtu.be/QFj42skgk1c" TargetMode="External"/><Relationship Id="rId928" Type="http://schemas.openxmlformats.org/officeDocument/2006/relationships/hyperlink" Target="http://anonymousespanol.blogspot.com.es/" TargetMode="External"/><Relationship Id="rId1460" Type="http://schemas.openxmlformats.org/officeDocument/2006/relationships/hyperlink" Target="https://elpais.com/elpais/2018/11/21/opinion/1542806031_921444.html" TargetMode="External"/><Relationship Id="rId1558" Type="http://schemas.openxmlformats.org/officeDocument/2006/relationships/hyperlink" Target="https://pbs.twimg.com/media/Dsl-rp_W0Agb6Eu.jpg" TargetMode="External"/><Relationship Id="rId1765" Type="http://schemas.openxmlformats.org/officeDocument/2006/relationships/hyperlink" Target="https://goo.gl/6iSkEi?nlu57=1627497627" TargetMode="External"/><Relationship Id="rId2304" Type="http://schemas.openxmlformats.org/officeDocument/2006/relationships/hyperlink" Target="https://twitter.com/BernaldoDQuiros/status/1064566711821770752" TargetMode="External"/><Relationship Id="rId2511" Type="http://schemas.openxmlformats.org/officeDocument/2006/relationships/hyperlink" Target="https://youtu.be/nyKcBUxQ7Ww" TargetMode="External"/><Relationship Id="rId2609" Type="http://schemas.openxmlformats.org/officeDocument/2006/relationships/hyperlink" Target="https://pbs.twimg.com/media/DseCUCbWwAAE2KT.jpg" TargetMode="External"/><Relationship Id="rId57" Type="http://schemas.openxmlformats.org/officeDocument/2006/relationships/hyperlink" Target="https://ift.tt/2r4c4nH" TargetMode="External"/><Relationship Id="rId1113" Type="http://schemas.openxmlformats.org/officeDocument/2006/relationships/hyperlink" Target="http://page.is/jesusantonio" TargetMode="External"/><Relationship Id="rId1320" Type="http://schemas.openxmlformats.org/officeDocument/2006/relationships/hyperlink" Target="https://pbs.twimg.com/media/DsmdSEiXcAAlh46.jpg" TargetMode="External"/><Relationship Id="rId1418" Type="http://schemas.openxmlformats.org/officeDocument/2006/relationships/hyperlink" Target="https://www.facebook.com/misamont/videos/10216926134762620/" TargetMode="External"/><Relationship Id="rId1972" Type="http://schemas.openxmlformats.org/officeDocument/2006/relationships/hyperlink" Target="http://pic.twitter.com/tIFYwOHFCv" TargetMode="External"/><Relationship Id="rId2816" Type="http://schemas.openxmlformats.org/officeDocument/2006/relationships/hyperlink" Target="http://www.lesfartures.com/" TargetMode="External"/><Relationship Id="rId1625" Type="http://schemas.openxmlformats.org/officeDocument/2006/relationships/hyperlink" Target="https://pbs.twimg.com/media/DslubFQXQAAofAn.jpg" TargetMode="External"/><Relationship Id="rId1832" Type="http://schemas.openxmlformats.org/officeDocument/2006/relationships/hyperlink" Target="https://twitter.com/manumerimm1/status/1065012692392529920" TargetMode="External"/><Relationship Id="rId2094" Type="http://schemas.openxmlformats.org/officeDocument/2006/relationships/hyperlink" Target="http://contracobardes.blogspot.com.es/?m=1" TargetMode="External"/><Relationship Id="rId273" Type="http://schemas.openxmlformats.org/officeDocument/2006/relationships/hyperlink" Target="http://youtu.be/VG7m-J12CBI?a" TargetMode="External"/><Relationship Id="rId480" Type="http://schemas.openxmlformats.org/officeDocument/2006/relationships/hyperlink" Target="http://www.albertogomezvaquero.es/" TargetMode="External"/><Relationship Id="rId2161" Type="http://schemas.openxmlformats.org/officeDocument/2006/relationships/hyperlink" Target="https://ift.tt/2TxAH9y" TargetMode="External"/><Relationship Id="rId2399" Type="http://schemas.openxmlformats.org/officeDocument/2006/relationships/hyperlink" Target="https://www.elmundo.es/andalucia/2018/11/21/5bf46ba046163f4da28b4607.html" TargetMode="External"/><Relationship Id="rId133" Type="http://schemas.openxmlformats.org/officeDocument/2006/relationships/hyperlink" Target="https://pbs.twimg.com/media/Dsrt22aXgAA6mAZ.jpg" TargetMode="External"/><Relationship Id="rId340" Type="http://schemas.openxmlformats.org/officeDocument/2006/relationships/hyperlink" Target="https://www.facebook.com/100003557728224/posts/1917172921744613/" TargetMode="External"/><Relationship Id="rId578" Type="http://schemas.openxmlformats.org/officeDocument/2006/relationships/hyperlink" Target="https://pbs.twimg.com/media/Dsotr9HXcAA16pW.jpg" TargetMode="External"/><Relationship Id="rId785" Type="http://schemas.openxmlformats.org/officeDocument/2006/relationships/hyperlink" Target="http://www.comerporunrinon.es/" TargetMode="External"/><Relationship Id="rId992" Type="http://schemas.openxmlformats.org/officeDocument/2006/relationships/hyperlink" Target="https://pbs.twimg.com/media/DsmYin-XQAEnw_Q.jpg" TargetMode="External"/><Relationship Id="rId2021" Type="http://schemas.openxmlformats.org/officeDocument/2006/relationships/hyperlink" Target="https://goo.gl/G17Y8c?btp59=5558367305" TargetMode="External"/><Relationship Id="rId2259" Type="http://schemas.openxmlformats.org/officeDocument/2006/relationships/hyperlink" Target="https://www.publico.es/politica/20-n-espana-2018-exalta-franco-nombre-dios.html" TargetMode="External"/><Relationship Id="rId2466" Type="http://schemas.openxmlformats.org/officeDocument/2006/relationships/hyperlink" Target="https://pbs.twimg.com/media/DsfMo0IXQAAz9Ta.jpg" TargetMode="External"/><Relationship Id="rId2673" Type="http://schemas.openxmlformats.org/officeDocument/2006/relationships/hyperlink" Target="https://www.elmundo.es/espana/2018/11/20/5bf3071946163ffb518b4673.html" TargetMode="External"/><Relationship Id="rId2880" Type="http://schemas.openxmlformats.org/officeDocument/2006/relationships/hyperlink" Target="http://arturorojillo.blogspot.com.es/" TargetMode="External"/><Relationship Id="rId200" Type="http://schemas.openxmlformats.org/officeDocument/2006/relationships/hyperlink" Target="http://www.carlosdoblado.com/" TargetMode="External"/><Relationship Id="rId438" Type="http://schemas.openxmlformats.org/officeDocument/2006/relationships/hyperlink" Target="https://www.facebook.com/victoriandres" TargetMode="External"/><Relationship Id="rId645" Type="http://schemas.openxmlformats.org/officeDocument/2006/relationships/hyperlink" Target="https://pbs.twimg.com/media/DsoDW_NU4AAMYF0.jpg" TargetMode="External"/><Relationship Id="rId852" Type="http://schemas.openxmlformats.org/officeDocument/2006/relationships/hyperlink" Target="https://m.eldiario.es/_31fba808" TargetMode="External"/><Relationship Id="rId1068" Type="http://schemas.openxmlformats.org/officeDocument/2006/relationships/hyperlink" Target="https://pbs.twimg.com/media/DsnLUkZXcAYzpEs.jpg" TargetMode="External"/><Relationship Id="rId1275" Type="http://schemas.openxmlformats.org/officeDocument/2006/relationships/hyperlink" Target="http://clearfile.blogspot.com/" TargetMode="External"/><Relationship Id="rId1482" Type="http://schemas.openxmlformats.org/officeDocument/2006/relationships/hyperlink" Target="http://inlucro.org/" TargetMode="External"/><Relationship Id="rId2119" Type="http://schemas.openxmlformats.org/officeDocument/2006/relationships/hyperlink" Target="https://www.elmundo.es/andalucia/2018/11/21/5bf46ba046163f4da28b4607.html" TargetMode="External"/><Relationship Id="rId2326" Type="http://schemas.openxmlformats.org/officeDocument/2006/relationships/hyperlink" Target="http://canarias-semanal.org/art/23954/pablo-iglesias-la-bandera-tricolor-es-el-simbolo-de-los-perdedores-y-no-volvera-a-resurgir" TargetMode="External"/><Relationship Id="rId2533" Type="http://schemas.openxmlformats.org/officeDocument/2006/relationships/hyperlink" Target="https://twitter.com/HistoriaEnFotos/status/1064990839598915589" TargetMode="External"/><Relationship Id="rId2740" Type="http://schemas.openxmlformats.org/officeDocument/2006/relationships/hyperlink" Target="https://pbs.twimg.com/media/DsdhDgJWkAAIwHZ.jpg" TargetMode="External"/><Relationship Id="rId2978" Type="http://schemas.openxmlformats.org/officeDocument/2006/relationships/hyperlink" Target="https://pbs.twimg.com/media/Dsck6hdXQAAk4_i.jpg" TargetMode="External"/><Relationship Id="rId505" Type="http://schemas.openxmlformats.org/officeDocument/2006/relationships/hyperlink" Target="https://instagram.com/arte_arquitectura_museos?utm_source=ig_profile_share&amp;igshid=1cg4p6qkbuct7" TargetMode="External"/><Relationship Id="rId712" Type="http://schemas.openxmlformats.org/officeDocument/2006/relationships/hyperlink" Target="https://twitter.com/Pablo_Iglesias_/status/1063175557859459072" TargetMode="External"/><Relationship Id="rId1135" Type="http://schemas.openxmlformats.org/officeDocument/2006/relationships/hyperlink" Target="https://www.elmundo.es/espana/2018/11/20/5bf407ae46163f14b08b460e.html" TargetMode="External"/><Relationship Id="rId1342" Type="http://schemas.openxmlformats.org/officeDocument/2006/relationships/hyperlink" Target="https://pbs.twimg.com/media/DsmYin-XQAEnw_Q.jpg" TargetMode="External"/><Relationship Id="rId1787" Type="http://schemas.openxmlformats.org/officeDocument/2006/relationships/hyperlink" Target="http://pic.twitter.com/PiZw8ELYva" TargetMode="External"/><Relationship Id="rId1994" Type="http://schemas.openxmlformats.org/officeDocument/2006/relationships/hyperlink" Target="http://dlvr.it/QrnZtk" TargetMode="External"/><Relationship Id="rId2838" Type="http://schemas.openxmlformats.org/officeDocument/2006/relationships/hyperlink" Target="https://www.lasexta.com/programas/al-rojo-vivo/entrevistas/pablo-iglesias-de-dignidad-nada-marchena-ha-negociado-con-el-pp-presidir-el-cgpj-video_201811205bf4053b0cf2c5d615617124.html" TargetMode="External"/><Relationship Id="rId79" Type="http://schemas.openxmlformats.org/officeDocument/2006/relationships/hyperlink" Target="http://www.redfloridablanca.es/respuesta-pablo-iglesias-alejandro-munoz/" TargetMode="External"/><Relationship Id="rId1202" Type="http://schemas.openxmlformats.org/officeDocument/2006/relationships/hyperlink" Target="http://www.periodistadigital.com/periodismo/prensa/2018/11/22/elpais-esconde-articulo-pablo-iglesias-para-masacrar-felipe-vi-hacerle-guino-golpistas.shtml" TargetMode="External"/><Relationship Id="rId1647" Type="http://schemas.openxmlformats.org/officeDocument/2006/relationships/hyperlink" Target="https://twitter.com/grancocolio/status/1064979635308507136" TargetMode="External"/><Relationship Id="rId1854" Type="http://schemas.openxmlformats.org/officeDocument/2006/relationships/hyperlink" Target="https://twitter.com/rubnpulido/status/1065346036292567041" TargetMode="External"/><Relationship Id="rId2600" Type="http://schemas.openxmlformats.org/officeDocument/2006/relationships/hyperlink" Target="http://www.tuitquedadamicologica.net/" TargetMode="External"/><Relationship Id="rId2905" Type="http://schemas.openxmlformats.org/officeDocument/2006/relationships/hyperlink" Target="https://pbs.twimg.com/media/Dsc1jWtXcAACGoK.jpg" TargetMode="External"/><Relationship Id="rId1507" Type="http://schemas.openxmlformats.org/officeDocument/2006/relationships/hyperlink" Target="https://elpais.com/elpais/2018/11/21/opinion/1542806031_921444.html" TargetMode="External"/><Relationship Id="rId1714" Type="http://schemas.openxmlformats.org/officeDocument/2006/relationships/hyperlink" Target="https://elpais.com/elpais/2018/11/21/opinion/1542806031_921444.html" TargetMode="External"/><Relationship Id="rId295" Type="http://schemas.openxmlformats.org/officeDocument/2006/relationships/hyperlink" Target="http://elconfidencial.com/" TargetMode="External"/><Relationship Id="rId1921" Type="http://schemas.openxmlformats.org/officeDocument/2006/relationships/hyperlink" Target="https://pbs.twimg.com/media/DsjRG3xXgAYkyJU.jpg" TargetMode="External"/><Relationship Id="rId2183" Type="http://schemas.openxmlformats.org/officeDocument/2006/relationships/hyperlink" Target="https://youtu.be/W3c-zUIsyss" TargetMode="External"/><Relationship Id="rId2390" Type="http://schemas.openxmlformats.org/officeDocument/2006/relationships/hyperlink" Target="https://ift.tt/2zjsNIm" TargetMode="External"/><Relationship Id="rId2488" Type="http://schemas.openxmlformats.org/officeDocument/2006/relationships/hyperlink" Target="https://pbs.twimg.com/media/Dse4HuQWkAUcW0P.jpg" TargetMode="External"/><Relationship Id="rId155" Type="http://schemas.openxmlformats.org/officeDocument/2006/relationships/hyperlink" Target="http://migrationsandconflicts.blogspot.com/" TargetMode="External"/><Relationship Id="rId362" Type="http://schemas.openxmlformats.org/officeDocument/2006/relationships/hyperlink" Target="https://www.elperiodico.com/es/opinion/20181122/articulo-opinion-emma-riverola-las-cenizas-de-rufian-7162317?utm_source=facebook&amp;utm_medium=social" TargetMode="External"/><Relationship Id="rId1297" Type="http://schemas.openxmlformats.org/officeDocument/2006/relationships/hyperlink" Target="https://elpais.com/elpais/2018/11/21/opinion/1542806031_921444.amp.html?__twitter_impression=true" TargetMode="External"/><Relationship Id="rId2043" Type="http://schemas.openxmlformats.org/officeDocument/2006/relationships/hyperlink" Target="https://pbs.twimg.com/media/Dsih_81VAAANcsi.jpg" TargetMode="External"/><Relationship Id="rId2250" Type="http://schemas.openxmlformats.org/officeDocument/2006/relationships/hyperlink" Target="https://www.elmundo.es/economia/macroeconomia/2018/11/21/5bf5301ae5fdeacb458b4570.html" TargetMode="External"/><Relationship Id="rId2695" Type="http://schemas.openxmlformats.org/officeDocument/2006/relationships/hyperlink" Target="https://goo.gl/w1kgrt?gdr33=2665909776" TargetMode="External"/><Relationship Id="rId222" Type="http://schemas.openxmlformats.org/officeDocument/2006/relationships/hyperlink" Target="https://pbs.twimg.com/media/Dsrs8rQWsAIK4O9.jpg" TargetMode="External"/><Relationship Id="rId667" Type="http://schemas.openxmlformats.org/officeDocument/2006/relationships/hyperlink" Target="http://www.ctxt.es/" TargetMode="External"/><Relationship Id="rId874" Type="http://schemas.openxmlformats.org/officeDocument/2006/relationships/hyperlink" Target="https://pbs.twimg.com/media/Dsn_DxbUwAAeR58.jpg" TargetMode="External"/><Relationship Id="rId2110" Type="http://schemas.openxmlformats.org/officeDocument/2006/relationships/hyperlink" Target="https://ift.tt/2AkwLAn" TargetMode="External"/><Relationship Id="rId2348" Type="http://schemas.openxmlformats.org/officeDocument/2006/relationships/hyperlink" Target="http://www.americaneo.com/" TargetMode="External"/><Relationship Id="rId2555" Type="http://schemas.openxmlformats.org/officeDocument/2006/relationships/hyperlink" Target="http://pic.twitter.com/YFhlNH1bwC" TargetMode="External"/><Relationship Id="rId2762" Type="http://schemas.openxmlformats.org/officeDocument/2006/relationships/hyperlink" Target="http://bitclub.network/domingo5" TargetMode="External"/><Relationship Id="rId527" Type="http://schemas.openxmlformats.org/officeDocument/2006/relationships/hyperlink" Target="https://www.periodistadigital.com/periodismo/prensa/2018/11/22/elpais-esconde-articulo-pablo-iglesias-para-masacrar-felipe-vi-hacerle-guino-golpistas.shtml" TargetMode="External"/><Relationship Id="rId734" Type="http://schemas.openxmlformats.org/officeDocument/2006/relationships/hyperlink" Target="https://elpais.com/elpais/2018/11/21/opinion/1542806031_921444.html" TargetMode="External"/><Relationship Id="rId941" Type="http://schemas.openxmlformats.org/officeDocument/2006/relationships/hyperlink" Target="http://www.elperiodico.com/" TargetMode="External"/><Relationship Id="rId1157" Type="http://schemas.openxmlformats.org/officeDocument/2006/relationships/hyperlink" Target="http://www.sport.es/" TargetMode="External"/><Relationship Id="rId1364" Type="http://schemas.openxmlformats.org/officeDocument/2006/relationships/hyperlink" Target="https://elpais.com/elpais/2018/11/21/opinion/1542806031_921444.html" TargetMode="External"/><Relationship Id="rId1571" Type="http://schemas.openxmlformats.org/officeDocument/2006/relationships/hyperlink" Target="https://elpais.com/elpais/2018/11/21/opinion/1542806031_921444.html?id_externo_rsoc=TW_CC" TargetMode="External"/><Relationship Id="rId2208" Type="http://schemas.openxmlformats.org/officeDocument/2006/relationships/hyperlink" Target="http://laschicasnoestanbien.wordpress.com/" TargetMode="External"/><Relationship Id="rId2415" Type="http://schemas.openxmlformats.org/officeDocument/2006/relationships/hyperlink" Target="https://goo.gl/dVfLX3?dvi14=4617963710" TargetMode="External"/><Relationship Id="rId2622" Type="http://schemas.openxmlformats.org/officeDocument/2006/relationships/hyperlink" Target="https://ift.tt/2OTKuTZ" TargetMode="External"/><Relationship Id="rId70" Type="http://schemas.openxmlformats.org/officeDocument/2006/relationships/hyperlink" Target="http://www.pressdigital.es/" TargetMode="External"/><Relationship Id="rId801" Type="http://schemas.openxmlformats.org/officeDocument/2006/relationships/hyperlink" Target="http://www.multiforo.eu/" TargetMode="External"/><Relationship Id="rId1017" Type="http://schemas.openxmlformats.org/officeDocument/2006/relationships/hyperlink" Target="https://pbs.twimg.com/media/DsnfUSFX4AINSdu.jpg" TargetMode="External"/><Relationship Id="rId1224" Type="http://schemas.openxmlformats.org/officeDocument/2006/relationships/hyperlink" Target="http://page.is/oscar-riccardo" TargetMode="External"/><Relationship Id="rId1431" Type="http://schemas.openxmlformats.org/officeDocument/2006/relationships/hyperlink" Target="https://pbs.twimg.com/media/DsmPVuSXgAAifot.jpg" TargetMode="External"/><Relationship Id="rId1669" Type="http://schemas.openxmlformats.org/officeDocument/2006/relationships/hyperlink" Target="https://elpais.com/elpais/2018/11/21/opinion/1542806031_921444.html" TargetMode="External"/><Relationship Id="rId1876" Type="http://schemas.openxmlformats.org/officeDocument/2006/relationships/hyperlink" Target="https://blogs.elconfidencial.com/espana/mientras-tanto/2018-11-18/pablo-iglesias-podemos-politica_1653078/?utm_campaign=BotoneraWebapp&amp;utm_source=twitter&amp;utm_medium=social" TargetMode="External"/><Relationship Id="rId2927" Type="http://schemas.openxmlformats.org/officeDocument/2006/relationships/hyperlink" Target="https://amp.elmundo.es/espana/2018/11/20/5bf407ae46163f14b08b460e.html?__twitter_impression=true" TargetMode="External"/><Relationship Id="rId1529" Type="http://schemas.openxmlformats.org/officeDocument/2006/relationships/hyperlink" Target="http://www.podemoscerroamate.info/" TargetMode="External"/><Relationship Id="rId1736" Type="http://schemas.openxmlformats.org/officeDocument/2006/relationships/hyperlink" Target="https://elpais.com/elpais/2018/11/21/opinion/1542806031_921444.html?id_externo_rsoc=TW_CC" TargetMode="External"/><Relationship Id="rId1943" Type="http://schemas.openxmlformats.org/officeDocument/2006/relationships/hyperlink" Target="http://instagram.com/sergioolles" TargetMode="External"/><Relationship Id="rId28" Type="http://schemas.openxmlformats.org/officeDocument/2006/relationships/hyperlink" Target="http://pic.twitter.com/Fqqj4JRDSp" TargetMode="External"/><Relationship Id="rId1803" Type="http://schemas.openxmlformats.org/officeDocument/2006/relationships/hyperlink" Target="http://youtu.be/v2_qo6LMSsA?a" TargetMode="External"/><Relationship Id="rId177" Type="http://schemas.openxmlformats.org/officeDocument/2006/relationships/hyperlink" Target="https://www.elnacional.cat/ca/en-directe/actualitat-23112018_3636_126.html?idComment=984501" TargetMode="External"/><Relationship Id="rId384" Type="http://schemas.openxmlformats.org/officeDocument/2006/relationships/hyperlink" Target="http://www.expansion.com/" TargetMode="External"/><Relationship Id="rId591" Type="http://schemas.openxmlformats.org/officeDocument/2006/relationships/hyperlink" Target="https://elpais.com/elpais/2018/11/21/opinion/1542806031_921444.html?id_externo_rsoc=TW_CC" TargetMode="External"/><Relationship Id="rId2065" Type="http://schemas.openxmlformats.org/officeDocument/2006/relationships/hyperlink" Target="http://www.bitmomentum.com/" TargetMode="External"/><Relationship Id="rId2272" Type="http://schemas.openxmlformats.org/officeDocument/2006/relationships/hyperlink" Target="https://pbs.twimg.com/media/DsgSbYQWsAIASDX.jpg" TargetMode="External"/><Relationship Id="rId244" Type="http://schemas.openxmlformats.org/officeDocument/2006/relationships/hyperlink" Target="http://www.sevilla24horas.com/" TargetMode="External"/><Relationship Id="rId689" Type="http://schemas.openxmlformats.org/officeDocument/2006/relationships/hyperlink" Target="https://elpais.com/elpais/2018/11/21/opinion/1542806031_921444.html?fbclid=IwAR2pLjYeFg9t2OZW3Z8I6ZOwIwNayUCeMibBSDwR-Yv_i88pXBIfFhsHsag" TargetMode="External"/><Relationship Id="rId896" Type="http://schemas.openxmlformats.org/officeDocument/2006/relationships/hyperlink" Target="http://eleconomista.es/" TargetMode="External"/><Relationship Id="rId1081" Type="http://schemas.openxmlformats.org/officeDocument/2006/relationships/hyperlink" Target="https://pbs.twimg.com/media/DsnJT23XcAAU4b7.jpg" TargetMode="External"/><Relationship Id="rId2577" Type="http://schemas.openxmlformats.org/officeDocument/2006/relationships/hyperlink" Target="https://www.elmundo.es/espana/2018/11/20/5bf407ae46163f14b08b460e.html" TargetMode="External"/><Relationship Id="rId2784" Type="http://schemas.openxmlformats.org/officeDocument/2006/relationships/hyperlink" Target="http://www.madressolterasporeleccion.org/" TargetMode="External"/><Relationship Id="rId451" Type="http://schemas.openxmlformats.org/officeDocument/2006/relationships/hyperlink" Target="http://130aniversariougt.es/libro-bolsillo-pablo-iglesias-para-fundar-ugt/" TargetMode="External"/><Relationship Id="rId549" Type="http://schemas.openxmlformats.org/officeDocument/2006/relationships/hyperlink" Target="http://actualidad205.wordpress.com/" TargetMode="External"/><Relationship Id="rId756" Type="http://schemas.openxmlformats.org/officeDocument/2006/relationships/hyperlink" Target="http://podemos.info/" TargetMode="External"/><Relationship Id="rId1179" Type="http://schemas.openxmlformats.org/officeDocument/2006/relationships/hyperlink" Target="https://elpais.com/elpais/2018/11/21/opinion/1542806031_921444.html?id_externo_rsoc=TW_CC" TargetMode="External"/><Relationship Id="rId1386" Type="http://schemas.openxmlformats.org/officeDocument/2006/relationships/hyperlink" Target="http://adliro.blogspot.com.es/" TargetMode="External"/><Relationship Id="rId1593" Type="http://schemas.openxmlformats.org/officeDocument/2006/relationships/hyperlink" Target="https://elpais.com/elpais/2018/11/21/opinion/1542806031_921444.html?id_externo_rsoc=TW_CC" TargetMode="External"/><Relationship Id="rId2132" Type="http://schemas.openxmlformats.org/officeDocument/2006/relationships/hyperlink" Target="http://www.alcobendas.org/es/cargarFichaTerritorial.do?identificador=543" TargetMode="External"/><Relationship Id="rId2437" Type="http://schemas.openxmlformats.org/officeDocument/2006/relationships/hyperlink" Target="https://www.elmundo.es/andalucia/2018/11/21/5bf46ba046163f4da28b4607.html" TargetMode="External"/><Relationship Id="rId104" Type="http://schemas.openxmlformats.org/officeDocument/2006/relationships/hyperlink" Target="https://pbs.twimg.com/media/DssB-CYXQAEHJ8l.jpg" TargetMode="External"/><Relationship Id="rId311" Type="http://schemas.openxmlformats.org/officeDocument/2006/relationships/hyperlink" Target="https://trib.al/yPLlmKh" TargetMode="External"/><Relationship Id="rId409" Type="http://schemas.openxmlformats.org/officeDocument/2006/relationships/hyperlink" Target="http://podemos.info/" TargetMode="External"/><Relationship Id="rId963" Type="http://schemas.openxmlformats.org/officeDocument/2006/relationships/hyperlink" Target="https://pbs.twimg.com/media/DsntFwuXcAEap54.jpg" TargetMode="External"/><Relationship Id="rId1039" Type="http://schemas.openxmlformats.org/officeDocument/2006/relationships/hyperlink" Target="https://pbs.twimg.com/media/DsnV_BOWkAEjB9a.jpg" TargetMode="External"/><Relationship Id="rId1246" Type="http://schemas.openxmlformats.org/officeDocument/2006/relationships/hyperlink" Target="https://myanimelist.net/profile/JuanmaofArcos" TargetMode="External"/><Relationship Id="rId1898" Type="http://schemas.openxmlformats.org/officeDocument/2006/relationships/hyperlink" Target="https://youtu.be/jOKUHInEhjE" TargetMode="External"/><Relationship Id="rId2644" Type="http://schemas.openxmlformats.org/officeDocument/2006/relationships/hyperlink" Target="https://www.ciudadanos-cs.org/" TargetMode="External"/><Relationship Id="rId2851" Type="http://schemas.openxmlformats.org/officeDocument/2006/relationships/hyperlink" Target="http://www.paginasmaestras.blogspot.com/" TargetMode="External"/><Relationship Id="rId2949" Type="http://schemas.openxmlformats.org/officeDocument/2006/relationships/hyperlink" Target="https://pbs.twimg.com/media/DscGR62WoAAz02S.jpg" TargetMode="External"/><Relationship Id="rId92" Type="http://schemas.openxmlformats.org/officeDocument/2006/relationships/hyperlink" Target="https://www.facebook.com/victoriandres" TargetMode="External"/><Relationship Id="rId616" Type="http://schemas.openxmlformats.org/officeDocument/2006/relationships/hyperlink" Target="https://elpais.com/elpais/2018/11/21/opinion/1542806031_921444.html?id_externo_rsoc=TW_CC" TargetMode="External"/><Relationship Id="rId823" Type="http://schemas.openxmlformats.org/officeDocument/2006/relationships/hyperlink" Target="https://berlinconfidencial.com/2017/11/06/revelacion-george-soros-tiene-bajo-control-a-225-politicos-de-europa-entre-ellos-los-espanoles-pablo-iglesias-javier-couso-elena-valenciano-javier-nart-diputados-del-pp-y-otros/?fbclid=IwAR2MiEd6M3BvMocv2V-rao1_lygc8AF4V4ObMBB4RLvH177HkzhGsN6vAiE" TargetMode="External"/><Relationship Id="rId1453" Type="http://schemas.openxmlformats.org/officeDocument/2006/relationships/hyperlink" Target="http://correporti.blogspot.com.es/" TargetMode="External"/><Relationship Id="rId1660" Type="http://schemas.openxmlformats.org/officeDocument/2006/relationships/hyperlink" Target="https://elpais.com/elpais/2018/11/21/opinion/1542806031_921444.html?id_externo_rsoc=TW_CC" TargetMode="External"/><Relationship Id="rId1758" Type="http://schemas.openxmlformats.org/officeDocument/2006/relationships/hyperlink" Target="http://flavors.me/egarciagarcia" TargetMode="External"/><Relationship Id="rId2504" Type="http://schemas.openxmlformats.org/officeDocument/2006/relationships/hyperlink" Target="https://www.elconfidencial.com/espana/2018-11-18/desencanto-podemos-circulos-pablo-iglesias-carmena_1653050/" TargetMode="External"/><Relationship Id="rId2711" Type="http://schemas.openxmlformats.org/officeDocument/2006/relationships/hyperlink" Target="http://www.colpolsocclm.es/" TargetMode="External"/><Relationship Id="rId2809" Type="http://schemas.openxmlformats.org/officeDocument/2006/relationships/hyperlink" Target="https://pbs.twimg.com/media/DsdM0akW0AMtlLl.jpg" TargetMode="External"/><Relationship Id="rId1106" Type="http://schemas.openxmlformats.org/officeDocument/2006/relationships/hyperlink" Target="https://elpais.com/elpais/2018/11/21/opinion/1542806031_921444.html?id_externo_rsoc=TW_CC" TargetMode="External"/><Relationship Id="rId1313" Type="http://schemas.openxmlformats.org/officeDocument/2006/relationships/hyperlink" Target="http://www.rionegro.com.ar/" TargetMode="External"/><Relationship Id="rId1520" Type="http://schemas.openxmlformats.org/officeDocument/2006/relationships/hyperlink" Target="https://elpais.com/elpais/2018/11/21/opinion/1542806031_921444.html" TargetMode="External"/><Relationship Id="rId1965" Type="http://schemas.openxmlformats.org/officeDocument/2006/relationships/hyperlink" Target="https://twitter.com/pnique/status/1065189164335935488" TargetMode="External"/><Relationship Id="rId1618" Type="http://schemas.openxmlformats.org/officeDocument/2006/relationships/hyperlink" Target="http://cineypolitica.blogspot.com.es/" TargetMode="External"/><Relationship Id="rId1825" Type="http://schemas.openxmlformats.org/officeDocument/2006/relationships/hyperlink" Target="http://www.scu.sld.cu/facultad2/" TargetMode="External"/><Relationship Id="rId199" Type="http://schemas.openxmlformats.org/officeDocument/2006/relationships/hyperlink" Target="http://www.implantecoclear.org/" TargetMode="External"/><Relationship Id="rId2087" Type="http://schemas.openxmlformats.org/officeDocument/2006/relationships/hyperlink" Target="http://tabarnia.es/" TargetMode="External"/><Relationship Id="rId2294" Type="http://schemas.openxmlformats.org/officeDocument/2006/relationships/hyperlink" Target="http://verdaderaizquierda.blogspot.com/" TargetMode="External"/><Relationship Id="rId266" Type="http://schemas.openxmlformats.org/officeDocument/2006/relationships/hyperlink" Target="http://cadenaser.com/programa/2018/11/22/hoy_por_hoy/1542900365_285470.html?ssm=tw" TargetMode="External"/><Relationship Id="rId473" Type="http://schemas.openxmlformats.org/officeDocument/2006/relationships/hyperlink" Target="http://cadenaser.com/programa/2018/11/22/hoy_por_hoy/1542900365_285470.html" TargetMode="External"/><Relationship Id="rId680" Type="http://schemas.openxmlformats.org/officeDocument/2006/relationships/hyperlink" Target="http://www.guardiacivilpolicia.com.es/2018/11/marlaska-retira-parte-de-la-escolta-los.html?m=1" TargetMode="External"/><Relationship Id="rId2154" Type="http://schemas.openxmlformats.org/officeDocument/2006/relationships/hyperlink" Target="https://www.elmundo.es/andalucia/2018/11/21/5bf46ba046163f4da28b4607.html" TargetMode="External"/><Relationship Id="rId2361" Type="http://schemas.openxmlformats.org/officeDocument/2006/relationships/hyperlink" Target="https://www.facebook.com/ayto.torremolinos" TargetMode="External"/><Relationship Id="rId2599" Type="http://schemas.openxmlformats.org/officeDocument/2006/relationships/hyperlink" Target="https://avilared.com/not/36301/rosa-villacastin-fundabem-y-la-usal-distinciones-pablo-iglesias/" TargetMode="External"/><Relationship Id="rId126" Type="http://schemas.openxmlformats.org/officeDocument/2006/relationships/hyperlink" Target="https://twitter.com/fdenaes/status/1065936827339743232" TargetMode="External"/><Relationship Id="rId333" Type="http://schemas.openxmlformats.org/officeDocument/2006/relationships/hyperlink" Target="http://www.endecomunicacion.com/" TargetMode="External"/><Relationship Id="rId540" Type="http://schemas.openxmlformats.org/officeDocument/2006/relationships/hyperlink" Target="https://elpais.com/elpais/2018/11/21/opinion/1542806031_921444.html?id_externo_rsoc=TW_CC" TargetMode="External"/><Relationship Id="rId778" Type="http://schemas.openxmlformats.org/officeDocument/2006/relationships/hyperlink" Target="https://pbs.twimg.com/media/DsoWKCCVsAAGK1m.jpg" TargetMode="External"/><Relationship Id="rId985" Type="http://schemas.openxmlformats.org/officeDocument/2006/relationships/hyperlink" Target="https://ferjimgon.blogspot.com/2018/11/para-que-sirve-la-democracia.html" TargetMode="External"/><Relationship Id="rId1170" Type="http://schemas.openxmlformats.org/officeDocument/2006/relationships/hyperlink" Target="https://elpais.com/elpais/2018/11/21/opinion/1542806031_921444.html" TargetMode="External"/><Relationship Id="rId2014" Type="http://schemas.openxmlformats.org/officeDocument/2006/relationships/hyperlink" Target="http://podemos.info/" TargetMode="External"/><Relationship Id="rId2221" Type="http://schemas.openxmlformats.org/officeDocument/2006/relationships/hyperlink" Target="http://pic.twitter.com/1BRXaNUlcb" TargetMode="External"/><Relationship Id="rId2459" Type="http://schemas.openxmlformats.org/officeDocument/2006/relationships/hyperlink" Target="https://ift.tt/2PIQyUy" TargetMode="External"/><Relationship Id="rId2666" Type="http://schemas.openxmlformats.org/officeDocument/2006/relationships/hyperlink" Target="https://www.elmundo.es/espana/2018/11/20/5bf407ae46163f14b08b460e.html" TargetMode="External"/><Relationship Id="rId2873" Type="http://schemas.openxmlformats.org/officeDocument/2006/relationships/hyperlink" Target="http://pic.twitter.com/hE8lQi4Mrq" TargetMode="External"/><Relationship Id="rId638" Type="http://schemas.openxmlformats.org/officeDocument/2006/relationships/hyperlink" Target="https://www.eldiario.es/rastreador/Hermann-Tertsch-monarquia-Pablo-Iglesias_6_838576136.html" TargetMode="External"/><Relationship Id="rId845" Type="http://schemas.openxmlformats.org/officeDocument/2006/relationships/hyperlink" Target="http://youtu.be/cggNqDAtJYU" TargetMode="External"/><Relationship Id="rId1030" Type="http://schemas.openxmlformats.org/officeDocument/2006/relationships/hyperlink" Target="https://okdiario.com/espana/2017/08/15/podemos-propondra-cambiar-constitucion-asamblea-bolivariana-1235964?fbclid=IwAR1gzEucWEqXGg8cVgYSjh2NCEyjeiByoxFoR9TwgO7iM7pnIBZBzE6K5Lo" TargetMode="External"/><Relationship Id="rId1268" Type="http://schemas.openxmlformats.org/officeDocument/2006/relationships/hyperlink" Target="https://soundcloud.com/marcopolo-24" TargetMode="External"/><Relationship Id="rId1475" Type="http://schemas.openxmlformats.org/officeDocument/2006/relationships/hyperlink" Target="https://pbs.twimg.com/media/DsmCsCLXcAElx-x.jpg" TargetMode="External"/><Relationship Id="rId1682" Type="http://schemas.openxmlformats.org/officeDocument/2006/relationships/hyperlink" Target="https://elpais.com/elpais/2018/11/21/opinion/1542806031_921444.html" TargetMode="External"/><Relationship Id="rId2319" Type="http://schemas.openxmlformats.org/officeDocument/2006/relationships/hyperlink" Target="http://www.masaborreguera.com/" TargetMode="External"/><Relationship Id="rId2526" Type="http://schemas.openxmlformats.org/officeDocument/2006/relationships/hyperlink" Target="https://twitter.com/sergipinkman/status/1064955281053007874" TargetMode="External"/><Relationship Id="rId2733" Type="http://schemas.openxmlformats.org/officeDocument/2006/relationships/hyperlink" Target="https://pbs.twimg.com/media/DsdFWDSWkAARmtn.jpg" TargetMode="External"/><Relationship Id="rId400" Type="http://schemas.openxmlformats.org/officeDocument/2006/relationships/hyperlink" Target="http://www.elindependiente.com/" TargetMode="External"/><Relationship Id="rId705" Type="http://schemas.openxmlformats.org/officeDocument/2006/relationships/hyperlink" Target="https://pbs.twimg.com/media/DsorpGIV4AAanHE.jpg" TargetMode="External"/><Relationship Id="rId1128" Type="http://schemas.openxmlformats.org/officeDocument/2006/relationships/hyperlink" Target="https://curiouscat.me/tusputxsmuertxs" TargetMode="External"/><Relationship Id="rId1335" Type="http://schemas.openxmlformats.org/officeDocument/2006/relationships/hyperlink" Target="http://www.leganews.es/" TargetMode="External"/><Relationship Id="rId1542" Type="http://schemas.openxmlformats.org/officeDocument/2006/relationships/hyperlink" Target="https://pbs.twimg.com/media/DsmBaBaW0AAl2U5.jpg" TargetMode="External"/><Relationship Id="rId1987" Type="http://schemas.openxmlformats.org/officeDocument/2006/relationships/hyperlink" Target="https://www.eldigitalcastillalamancha.es/entrevistas/929787664/Quiero-gobernar-sin-pactos-pero-Ciudadanos-no-me-repele-lo-mas-minimo.html" TargetMode="External"/><Relationship Id="rId2940" Type="http://schemas.openxmlformats.org/officeDocument/2006/relationships/hyperlink" Target="http://podemos.info/" TargetMode="External"/><Relationship Id="rId912" Type="http://schemas.openxmlformats.org/officeDocument/2006/relationships/hyperlink" Target="https://twitter.com/elchiringuitotv/status/1065653963301810176" TargetMode="External"/><Relationship Id="rId1847" Type="http://schemas.openxmlformats.org/officeDocument/2006/relationships/hyperlink" Target="http://canarias-semanal.org/art/23954/pablo-iglesias-la-bandera-tricolor-es-el-simbolo-de-los-perdedores-y-no-volvera-a-resurgir" TargetMode="External"/><Relationship Id="rId2800" Type="http://schemas.openxmlformats.org/officeDocument/2006/relationships/hyperlink" Target="https://goo.gl/p9XVc1" TargetMode="External"/><Relationship Id="rId41" Type="http://schemas.openxmlformats.org/officeDocument/2006/relationships/hyperlink" Target="https://pbs.twimg.com/media/DssWTAAXgAIrAGE.jpg" TargetMode="External"/><Relationship Id="rId1402" Type="http://schemas.openxmlformats.org/officeDocument/2006/relationships/hyperlink" Target="https://elpais.com/elpais/2018/11/21/opinion/1542806031_921444.html?id_externo_rsoc=TW_CC" TargetMode="External"/><Relationship Id="rId1707" Type="http://schemas.openxmlformats.org/officeDocument/2006/relationships/hyperlink" Target="https://elpais.com/elpais/2018/11/21/opinion/1542806031_921444.html" TargetMode="External"/><Relationship Id="rId190" Type="http://schemas.openxmlformats.org/officeDocument/2006/relationships/hyperlink" Target="https://www.europapress.es/nacional/noticia-pablo-iglesias-asegura-no-apoyara-pedro-sanchez-patrioterismos-extranos-relacion-gibraltar-20181123115328.html" TargetMode="External"/><Relationship Id="rId288" Type="http://schemas.openxmlformats.org/officeDocument/2006/relationships/hyperlink" Target="https://www.madridiario.es/462459/iglesias-reivindica-su-papel:-si-no-hubieramos-propuesto-a-manuela-no-hubiera-sido-alcaldesa" TargetMode="External"/><Relationship Id="rId1914" Type="http://schemas.openxmlformats.org/officeDocument/2006/relationships/hyperlink" Target="https://curiouscat.me/Charmander_ABRA" TargetMode="External"/><Relationship Id="rId495" Type="http://schemas.openxmlformats.org/officeDocument/2006/relationships/hyperlink" Target="http://cadenaser.com/" TargetMode="External"/><Relationship Id="rId2176" Type="http://schemas.openxmlformats.org/officeDocument/2006/relationships/hyperlink" Target="https://pbs.twimg.com/media/DshsFLtXcAEtbAz.jpg" TargetMode="External"/><Relationship Id="rId2383" Type="http://schemas.openxmlformats.org/officeDocument/2006/relationships/hyperlink" Target="https://www.facebook.com/groups/1523383624657240/?fref=nf" TargetMode="External"/><Relationship Id="rId2590" Type="http://schemas.openxmlformats.org/officeDocument/2006/relationships/hyperlink" Target="https://pbs.twimg.com/media/DfxkvvVVAAER2JZ.jpg" TargetMode="External"/><Relationship Id="rId148" Type="http://schemas.openxmlformats.org/officeDocument/2006/relationships/hyperlink" Target="https://www.facebook.com/profile.php?id=100011075051553" TargetMode="External"/><Relationship Id="rId355" Type="http://schemas.openxmlformats.org/officeDocument/2006/relationships/hyperlink" Target="http://madridinformer.com/" TargetMode="External"/><Relationship Id="rId562" Type="http://schemas.openxmlformats.org/officeDocument/2006/relationships/hyperlink" Target="https://pbs.twimg.com/media/Dsp9fsZXcAA4OvD.jpg" TargetMode="External"/><Relationship Id="rId1192" Type="http://schemas.openxmlformats.org/officeDocument/2006/relationships/hyperlink" Target="https://ift.tt/2PMIAd1" TargetMode="External"/><Relationship Id="rId2036" Type="http://schemas.openxmlformats.org/officeDocument/2006/relationships/hyperlink" Target="https://pbs.twimg.com/media/DsihHnkXQAAzOdi.jpg" TargetMode="External"/><Relationship Id="rId2243" Type="http://schemas.openxmlformats.org/officeDocument/2006/relationships/hyperlink" Target="https://bit.ly/2PtmWdD" TargetMode="External"/><Relationship Id="rId2450" Type="http://schemas.openxmlformats.org/officeDocument/2006/relationships/hyperlink" Target="https://goo.gl/EGv7dg?xjp79=1248542001" TargetMode="External"/><Relationship Id="rId2688" Type="http://schemas.openxmlformats.org/officeDocument/2006/relationships/hyperlink" Target="https://www.elmundo.es/espana/2018/11/20/5bf407ae46163f14b08b460e.html" TargetMode="External"/><Relationship Id="rId2895" Type="http://schemas.openxmlformats.org/officeDocument/2006/relationships/hyperlink" Target="https://www.europapress.es/nacional/noticia-pablo-iglesias-niega-dignidad-renuncia-marchena-achaca-marcha-torpeza-cosido-20181120144849.html" TargetMode="External"/><Relationship Id="rId215" Type="http://schemas.openxmlformats.org/officeDocument/2006/relationships/hyperlink" Target="https://okdiario.com/espana/2018/11/23/iglesias-recuerda-manuela-carmena-que-fue-podemos-quien-propuso-alcaldesa-pide-generosidad-3382897" TargetMode="External"/><Relationship Id="rId422" Type="http://schemas.openxmlformats.org/officeDocument/2006/relationships/hyperlink" Target="http://pic.twitter.com/YtKh12FVRW" TargetMode="External"/><Relationship Id="rId867" Type="http://schemas.openxmlformats.org/officeDocument/2006/relationships/hyperlink" Target="http://www.outono.net/elentir/2018/11/22/para-que-sirve-hoy-podemos/" TargetMode="External"/><Relationship Id="rId1052" Type="http://schemas.openxmlformats.org/officeDocument/2006/relationships/hyperlink" Target="https://pbs.twimg.com/media/DsnTWYUXcAA42CS.png" TargetMode="External"/><Relationship Id="rId1497" Type="http://schemas.openxmlformats.org/officeDocument/2006/relationships/hyperlink" Target="https://elpais.com/elpais/2018/11/21/opinion/1542806031_921444.html?id_externo_rsoc=TW_CC" TargetMode="External"/><Relationship Id="rId2103" Type="http://schemas.openxmlformats.org/officeDocument/2006/relationships/hyperlink" Target="http://cibaria.net/" TargetMode="External"/><Relationship Id="rId2310" Type="http://schemas.openxmlformats.org/officeDocument/2006/relationships/hyperlink" Target="http://bit.ly/FotonoticiaPleno21NOV" TargetMode="External"/><Relationship Id="rId2548" Type="http://schemas.openxmlformats.org/officeDocument/2006/relationships/hyperlink" Target="https://curiouscat.me/sercott29/post/712081566?t=1542748270" TargetMode="External"/><Relationship Id="rId2755" Type="http://schemas.openxmlformats.org/officeDocument/2006/relationships/hyperlink" Target="https://pbs.twimg.com/media/DsdE-QYXcAAhWLR.jpg" TargetMode="External"/><Relationship Id="rId2962" Type="http://schemas.openxmlformats.org/officeDocument/2006/relationships/hyperlink" Target="https://www.linkedin.com/pub/mireia-caramazana-esteve/47/39/51" TargetMode="External"/><Relationship Id="rId727" Type="http://schemas.openxmlformats.org/officeDocument/2006/relationships/hyperlink" Target="http://page.is/anton" TargetMode="External"/><Relationship Id="rId934" Type="http://schemas.openxmlformats.org/officeDocument/2006/relationships/hyperlink" Target="https://pbs.twimg.com/media/Dsnj5ODXoAEq12l.jpg" TargetMode="External"/><Relationship Id="rId1357" Type="http://schemas.openxmlformats.org/officeDocument/2006/relationships/hyperlink" Target="https://elpais.com/elpais/2018/11/21/opinion/1542806031_921444.html" TargetMode="External"/><Relationship Id="rId1564" Type="http://schemas.openxmlformats.org/officeDocument/2006/relationships/hyperlink" Target="http://materia.elpais.com/" TargetMode="External"/><Relationship Id="rId1771" Type="http://schemas.openxmlformats.org/officeDocument/2006/relationships/hyperlink" Target="https://www.instagram.com/chamonator/" TargetMode="External"/><Relationship Id="rId2408" Type="http://schemas.openxmlformats.org/officeDocument/2006/relationships/hyperlink" Target="https://twitter.com/RFECaza/status/1064912318394449920" TargetMode="External"/><Relationship Id="rId2615" Type="http://schemas.openxmlformats.org/officeDocument/2006/relationships/hyperlink" Target="https://www.elmundo.es/espana/2018/11/20/5bf407ae46163f14b08b460e.html" TargetMode="External"/><Relationship Id="rId2822" Type="http://schemas.openxmlformats.org/officeDocument/2006/relationships/hyperlink" Target="https://mobro.co/13945326" TargetMode="External"/><Relationship Id="rId63" Type="http://schemas.openxmlformats.org/officeDocument/2006/relationships/hyperlink" Target="http://sacapuntass.tumblr.com/" TargetMode="External"/><Relationship Id="rId1217" Type="http://schemas.openxmlformats.org/officeDocument/2006/relationships/hyperlink" Target="https://pbs.twimg.com/media/Dsmw1_gXcAAcF-_.jpg" TargetMode="External"/><Relationship Id="rId1424" Type="http://schemas.openxmlformats.org/officeDocument/2006/relationships/hyperlink" Target="https://elpais.com/elpais/2018/11/21/opinion/1542806031_921444.html" TargetMode="External"/><Relationship Id="rId1631" Type="http://schemas.openxmlformats.org/officeDocument/2006/relationships/hyperlink" Target="https://elpais.com/elpais/2018/11/21/opinion/1542806031_921444.html" TargetMode="External"/><Relationship Id="rId1869" Type="http://schemas.openxmlformats.org/officeDocument/2006/relationships/hyperlink" Target="https://pbs.twimg.com/media/DsjiwBuWoAAxn0d.jpg" TargetMode="External"/><Relationship Id="rId1729" Type="http://schemas.openxmlformats.org/officeDocument/2006/relationships/hyperlink" Target="https://elpais.com/elpais/2018/11/21/opinion/1542806031_921444.html?id_externo_rsoc=TW_CC" TargetMode="External"/><Relationship Id="rId1936" Type="http://schemas.openxmlformats.org/officeDocument/2006/relationships/hyperlink" Target="https://twitter.com/Pablo_Iglesias_/status/1065182868538822656" TargetMode="External"/><Relationship Id="rId2198" Type="http://schemas.openxmlformats.org/officeDocument/2006/relationships/hyperlink" Target="https://www.elmundo.es/andalucia/2018/11/21/5bf46ba046163f4da28b4607.html" TargetMode="External"/><Relationship Id="rId377" Type="http://schemas.openxmlformats.org/officeDocument/2006/relationships/hyperlink" Target="https://twitter.com/ahorapodemos/status/1065886837078720512" TargetMode="External"/><Relationship Id="rId584" Type="http://schemas.openxmlformats.org/officeDocument/2006/relationships/hyperlink" Target="https://twitter.com/CastigadorY/status/1065579194179031040" TargetMode="External"/><Relationship Id="rId2058" Type="http://schemas.openxmlformats.org/officeDocument/2006/relationships/hyperlink" Target="https://gu.com/p/9qt5q?CMP=share_btn_tw" TargetMode="External"/><Relationship Id="rId2265" Type="http://schemas.openxmlformats.org/officeDocument/2006/relationships/hyperlink" Target="https://pbs.twimg.com/media/DshQY7AXQAAG_Oj.jpg" TargetMode="External"/><Relationship Id="rId5" Type="http://schemas.openxmlformats.org/officeDocument/2006/relationships/hyperlink" Target="https://buff.ly/2TAGgEb" TargetMode="External"/><Relationship Id="rId237" Type="http://schemas.openxmlformats.org/officeDocument/2006/relationships/hyperlink" Target="https://www.europapress.es/nacional/noticia-pablo-iglesias-asegura-no-apoyara-pedro-sanchez-patrioterismos-extranos-relacion-gibraltar-20181123115328.html" TargetMode="External"/><Relationship Id="rId791" Type="http://schemas.openxmlformats.org/officeDocument/2006/relationships/hyperlink" Target="https://pbs.twimg.com/media/DsoR1qiWwAUifzu.jpg" TargetMode="External"/><Relationship Id="rId889" Type="http://schemas.openxmlformats.org/officeDocument/2006/relationships/hyperlink" Target="http://www.nicaraguadigital.com/" TargetMode="External"/><Relationship Id="rId1074" Type="http://schemas.openxmlformats.org/officeDocument/2006/relationships/hyperlink" Target="http://www.qendra.es/" TargetMode="External"/><Relationship Id="rId2472" Type="http://schemas.openxmlformats.org/officeDocument/2006/relationships/hyperlink" Target="https://goo.gl/Xos4oc?aad94=4869933778" TargetMode="External"/><Relationship Id="rId2777" Type="http://schemas.openxmlformats.org/officeDocument/2006/relationships/hyperlink" Target="https://www.elmundo.es/espana/2018/11/20/5bf407ae46163f14b08b460e.html" TargetMode="External"/><Relationship Id="rId444" Type="http://schemas.openxmlformats.org/officeDocument/2006/relationships/hyperlink" Target="https://www.abc.es/opinion/abci-ensayo-indigente-201811230117_noticia.html" TargetMode="External"/><Relationship Id="rId651" Type="http://schemas.openxmlformats.org/officeDocument/2006/relationships/hyperlink" Target="https://www.elmundo.es/madrid/2018/11/22/5bf6f3f2ca474129628b45b9.html" TargetMode="External"/><Relationship Id="rId749" Type="http://schemas.openxmlformats.org/officeDocument/2006/relationships/hyperlink" Target="http://www.noticias24horas.com/ue-albert-rivera-presente-una-mocion-de-censura-o-llegue-a-acuerdos-sobre-lo-acordado-psoe-podemos/" TargetMode="External"/><Relationship Id="rId1281" Type="http://schemas.openxmlformats.org/officeDocument/2006/relationships/hyperlink" Target="http://lulu.com/ropavieja" TargetMode="External"/><Relationship Id="rId1379" Type="http://schemas.openxmlformats.org/officeDocument/2006/relationships/hyperlink" Target="https://elpais.com/elpais/2018/11/21/opinion/1542806031_921444.html?id_externo_rsoc=TW_CC" TargetMode="External"/><Relationship Id="rId1586" Type="http://schemas.openxmlformats.org/officeDocument/2006/relationships/hyperlink" Target="http://www.gamisfaction.com/manubenas" TargetMode="External"/><Relationship Id="rId2125" Type="http://schemas.openxmlformats.org/officeDocument/2006/relationships/hyperlink" Target="https://twitter.com/Pablo_Iglesias_/status/1065182868538822656" TargetMode="External"/><Relationship Id="rId2332" Type="http://schemas.openxmlformats.org/officeDocument/2006/relationships/hyperlink" Target="https://somatemps.me/2016/10/16/iman-islamista-frances-las-mujeres-sin-velo-merecen-ser-violadas/" TargetMode="External"/><Relationship Id="rId2984" Type="http://schemas.openxmlformats.org/officeDocument/2006/relationships/hyperlink" Target="https://pbs.twimg.com/media/DsWuslMUUAEFZTQ.jpg" TargetMode="External"/><Relationship Id="rId304" Type="http://schemas.openxmlformats.org/officeDocument/2006/relationships/hyperlink" Target="https://www.esdiario.com/170685726/Rivera-le-recuerda-a-Iglesias-que-el-Rey-saca-mejor-nota-que-el-en-las-encuestas.html" TargetMode="External"/><Relationship Id="rId511" Type="http://schemas.openxmlformats.org/officeDocument/2006/relationships/hyperlink" Target="https://www.flickr.com/photos/vpg_ct/" TargetMode="External"/><Relationship Id="rId609" Type="http://schemas.openxmlformats.org/officeDocument/2006/relationships/hyperlink" Target="https://elpais.com/elpais/2018/11/21/opinion/1542806031_921444.html?id_externo_rsoc=TW_CC" TargetMode="External"/><Relationship Id="rId956" Type="http://schemas.openxmlformats.org/officeDocument/2006/relationships/hyperlink" Target="http://www.publico.es/" TargetMode="External"/><Relationship Id="rId1141" Type="http://schemas.openxmlformats.org/officeDocument/2006/relationships/hyperlink" Target="https://twitter.com/stupidnewsmart1/status/1064407911768776704" TargetMode="External"/><Relationship Id="rId1239" Type="http://schemas.openxmlformats.org/officeDocument/2006/relationships/hyperlink" Target="https://www.abc.es/espana/casa-real/abci-tras-spam-politico-derechos-personas-deben-estar-protegidos-internet-201811221236_noticia.html" TargetMode="External"/><Relationship Id="rId1793" Type="http://schemas.openxmlformats.org/officeDocument/2006/relationships/hyperlink" Target="http://instagram.com/lucksebas93" TargetMode="External"/><Relationship Id="rId2637" Type="http://schemas.openxmlformats.org/officeDocument/2006/relationships/hyperlink" Target="https://twitter.com/TeresaRodr_/status/1064650761483812864" TargetMode="External"/><Relationship Id="rId2844" Type="http://schemas.openxmlformats.org/officeDocument/2006/relationships/hyperlink" Target="https://pbs.twimg.com/media/DsdF06pUwAAuvb9.jpg" TargetMode="External"/><Relationship Id="rId85" Type="http://schemas.openxmlformats.org/officeDocument/2006/relationships/hyperlink" Target="http://elespectadorvenezolano.blogspot.com/" TargetMode="External"/><Relationship Id="rId816" Type="http://schemas.openxmlformats.org/officeDocument/2006/relationships/hyperlink" Target="https://twitter.com/dquerog/status/1065353008257609729" TargetMode="External"/><Relationship Id="rId1001" Type="http://schemas.openxmlformats.org/officeDocument/2006/relationships/hyperlink" Target="https://www.facebook.com/M%C3%A1s-que-Guardia-Civil-733199796807699/" TargetMode="External"/><Relationship Id="rId1446" Type="http://schemas.openxmlformats.org/officeDocument/2006/relationships/hyperlink" Target="https://elpais.com/elpais/2018/11/21/opinion/1542806031_921444.html?id_externo_rsoc=TW_CC" TargetMode="External"/><Relationship Id="rId1653" Type="http://schemas.openxmlformats.org/officeDocument/2006/relationships/hyperlink" Target="https://elpais.com/elpais/2018/11/21/opinion/1542806031_921444.html?fbclid=IwAR3nHPSAuVPStsIBF5uiSz7ydl8U_MoSbubQIU8Pmor1bbdxhCay62E60K8" TargetMode="External"/><Relationship Id="rId1860" Type="http://schemas.openxmlformats.org/officeDocument/2006/relationships/hyperlink" Target="http://www.bitmomentum.com/" TargetMode="External"/><Relationship Id="rId2704" Type="http://schemas.openxmlformats.org/officeDocument/2006/relationships/hyperlink" Target="http://www.pptedejamossinuneuro.com/" TargetMode="External"/><Relationship Id="rId2911" Type="http://schemas.openxmlformats.org/officeDocument/2006/relationships/hyperlink" Target="https://pbs.twimg.com/media/Dscv2CgXcAAr-H1.jpg" TargetMode="External"/><Relationship Id="rId1306" Type="http://schemas.openxmlformats.org/officeDocument/2006/relationships/hyperlink" Target="https://ift.tt/2DGi8u6" TargetMode="External"/><Relationship Id="rId1513" Type="http://schemas.openxmlformats.org/officeDocument/2006/relationships/hyperlink" Target="http://elpais.com/autor/jose_marcos/a" TargetMode="External"/><Relationship Id="rId1720" Type="http://schemas.openxmlformats.org/officeDocument/2006/relationships/hyperlink" Target="https://pbs.twimg.com/media/Dslq0miWoAAz8Yh.jpg" TargetMode="External"/><Relationship Id="rId1958" Type="http://schemas.openxmlformats.org/officeDocument/2006/relationships/hyperlink" Target="https://pbs.twimg.com/media/DsjGAdMWwAANlV5.jpg" TargetMode="External"/><Relationship Id="rId12" Type="http://schemas.openxmlformats.org/officeDocument/2006/relationships/hyperlink" Target="http://oficios2011.blogspot.com.ar/" TargetMode="External"/><Relationship Id="rId1818" Type="http://schemas.openxmlformats.org/officeDocument/2006/relationships/hyperlink" Target="http://www.youtube.com/user/TheSenyorS" TargetMode="External"/><Relationship Id="rId161" Type="http://schemas.openxmlformats.org/officeDocument/2006/relationships/hyperlink" Target="https://twitter.com/monikcon62/status/1065666281788055559" TargetMode="External"/><Relationship Id="rId399" Type="http://schemas.openxmlformats.org/officeDocument/2006/relationships/hyperlink" Target="https://www.elindependiente.com/politica/2018/11/23/pablo-iglesias-defiende-gibraltar-los-trabajadores-no-patriotismo-extrano/?utm_source=share_buttons&amp;utm_medium=twitter&amp;utm_campaign=social_share2" TargetMode="External"/><Relationship Id="rId2287" Type="http://schemas.openxmlformats.org/officeDocument/2006/relationships/hyperlink" Target="https://www.facebook.com/DosHermanasFeminismoPodemos/" TargetMode="External"/><Relationship Id="rId2494" Type="http://schemas.openxmlformats.org/officeDocument/2006/relationships/hyperlink" Target="https://twitter.com/_paolamacias_/status/1032855847788072960" TargetMode="External"/><Relationship Id="rId259" Type="http://schemas.openxmlformats.org/officeDocument/2006/relationships/hyperlink" Target="http://cadenaser.com/programa/2018/11/22/hoy_por_hoy/1542900365_285470.html?ssm=tw" TargetMode="External"/><Relationship Id="rId466" Type="http://schemas.openxmlformats.org/officeDocument/2006/relationships/hyperlink" Target="https://pbs.twimg.com/media/DsrGPyMW0AAXh0I.jpg" TargetMode="External"/><Relationship Id="rId673" Type="http://schemas.openxmlformats.org/officeDocument/2006/relationships/hyperlink" Target="https://okdiario.com/investigacion/2016/01/18/telefono-personal-673-298-pablo-iglesias-esta-nombre-empresa-del-gobierno-iran-55258" TargetMode="External"/><Relationship Id="rId880" Type="http://schemas.openxmlformats.org/officeDocument/2006/relationships/hyperlink" Target="https://pbs.twimg.com/media/Dsn-ZmpW0AEgqQe.jpg" TargetMode="External"/><Relationship Id="rId1096" Type="http://schemas.openxmlformats.org/officeDocument/2006/relationships/hyperlink" Target="http://pic.twitter.com/dV9xJw28g8" TargetMode="External"/><Relationship Id="rId2147" Type="http://schemas.openxmlformats.org/officeDocument/2006/relationships/hyperlink" Target="https://pbs.twimg.com/media/Dshzqn5XQAAsgeb.jpg" TargetMode="External"/><Relationship Id="rId2354" Type="http://schemas.openxmlformats.org/officeDocument/2006/relationships/hyperlink" Target="http://zparodias.blogspot.com.es/2012/04/blog-post.html" TargetMode="External"/><Relationship Id="rId2561" Type="http://schemas.openxmlformats.org/officeDocument/2006/relationships/hyperlink" Target="https://twitter.com/andy66warhol/status/1064811987157336064" TargetMode="External"/><Relationship Id="rId2799" Type="http://schemas.openxmlformats.org/officeDocument/2006/relationships/hyperlink" Target="https://goo.gl/YQ1pdq" TargetMode="External"/><Relationship Id="rId119" Type="http://schemas.openxmlformats.org/officeDocument/2006/relationships/hyperlink" Target="https://www.elmundo.es/espana/2018/11/23/5bf7e88a268e3e2e658b459a.html" TargetMode="External"/><Relationship Id="rId326" Type="http://schemas.openxmlformats.org/officeDocument/2006/relationships/hyperlink" Target="https://www.el19digital.com/articulos/ver/titulo:84269-celulares-de-medardo-mairena-y-pedro-mena-develan-gigantesca-trama-golpista" TargetMode="External"/><Relationship Id="rId533" Type="http://schemas.openxmlformats.org/officeDocument/2006/relationships/hyperlink" Target="https://elpais.com/elpais/2018/11/21/opinion/1542806031_921444.html?id_externo_rsoc=TW_CC" TargetMode="External"/><Relationship Id="rId978" Type="http://schemas.openxmlformats.org/officeDocument/2006/relationships/hyperlink" Target="http://www.multiforo.eu/" TargetMode="External"/><Relationship Id="rId1163" Type="http://schemas.openxmlformats.org/officeDocument/2006/relationships/hyperlink" Target="https://pbs.twimg.com/media/Dsm5--OWoAA1zez.jpg" TargetMode="External"/><Relationship Id="rId1370" Type="http://schemas.openxmlformats.org/officeDocument/2006/relationships/hyperlink" Target="http://www.youtube.com/playlist?list=PLgVCG-j5U6s4mip7EQDQAJiNIwJ0pfvGI&amp;feature=g-crec-u" TargetMode="External"/><Relationship Id="rId2007" Type="http://schemas.openxmlformats.org/officeDocument/2006/relationships/hyperlink" Target="http://www.instant-gaming.com/igr/Edd28/" TargetMode="External"/><Relationship Id="rId2214" Type="http://schemas.openxmlformats.org/officeDocument/2006/relationships/hyperlink" Target="http://www.ikusle.com/" TargetMode="External"/><Relationship Id="rId2659" Type="http://schemas.openxmlformats.org/officeDocument/2006/relationships/hyperlink" Target="https://pbs.twimg.com/media/Dsd03H6WsAAEmLh.jpg" TargetMode="External"/><Relationship Id="rId2866" Type="http://schemas.openxmlformats.org/officeDocument/2006/relationships/hyperlink" Target="http://atres.red/jt8fe4" TargetMode="External"/><Relationship Id="rId740" Type="http://schemas.openxmlformats.org/officeDocument/2006/relationships/hyperlink" Target="http://voxcartagena.es/" TargetMode="External"/><Relationship Id="rId838" Type="http://schemas.openxmlformats.org/officeDocument/2006/relationships/hyperlink" Target="https://www.theguardian.com/world/ng-interactive/2018/nov/21/how-populist-are-you-quiz" TargetMode="External"/><Relationship Id="rId1023" Type="http://schemas.openxmlformats.org/officeDocument/2006/relationships/hyperlink" Target="https://m.eldiario.es/_31fba808" TargetMode="External"/><Relationship Id="rId1468" Type="http://schemas.openxmlformats.org/officeDocument/2006/relationships/hyperlink" Target="https://elpais.com/elpais/2018/11/21/opinion/1542806031_921444.amp.html?__twitter_impression=true" TargetMode="External"/><Relationship Id="rId1675" Type="http://schemas.openxmlformats.org/officeDocument/2006/relationships/hyperlink" Target="https://www.facebook.com/IoneBelarra/" TargetMode="External"/><Relationship Id="rId1882" Type="http://schemas.openxmlformats.org/officeDocument/2006/relationships/hyperlink" Target="https://www.elconfidencial.com/espana/2016-04-04/financiacion-ilegal-podemos-venezuela-pago-millones-pablo-iglesias-juan-carlos-monedero-jorge-vestrynge_1178845/?utm_campaign=BotoneraWebapp&amp;utm_source=twitter&amp;utm_medium=social" TargetMode="External"/><Relationship Id="rId2421" Type="http://schemas.openxmlformats.org/officeDocument/2006/relationships/hyperlink" Target="https://www.periodistadigital.com/periodismo/tv/2018/11/20/pedro-sanchez-pablo-iglesias-presupuestos-elecciones-ferreras-gobierno.shtml" TargetMode="External"/><Relationship Id="rId2519" Type="http://schemas.openxmlformats.org/officeDocument/2006/relationships/hyperlink" Target="https://pbs.twimg.com/media/DlVw5FYXcAI90du.jpg" TargetMode="External"/><Relationship Id="rId2726" Type="http://schemas.openxmlformats.org/officeDocument/2006/relationships/hyperlink" Target="https://pbs.twimg.com/media/Dsdjj2wWkAIXvLZ.jpg" TargetMode="External"/><Relationship Id="rId600" Type="http://schemas.openxmlformats.org/officeDocument/2006/relationships/hyperlink" Target="https://okdiario.com/espana/2018/11/22/podemos-cierra-granma-que-lanzo-darse-autobombo-editar-solo-numero-3375752" TargetMode="External"/><Relationship Id="rId1230" Type="http://schemas.openxmlformats.org/officeDocument/2006/relationships/hyperlink" Target="https://tmblr.co/ZlmiWn2d-CIwV" TargetMode="External"/><Relationship Id="rId1328" Type="http://schemas.openxmlformats.org/officeDocument/2006/relationships/hyperlink" Target="https://elpais.com/elpais/2018/11/21/opinion/1542806031_921444.html" TargetMode="External"/><Relationship Id="rId1535" Type="http://schemas.openxmlformats.org/officeDocument/2006/relationships/hyperlink" Target="https://elpais.com/elpais/2018/11/21/opinion/1542806031_921444.html?id_externo_rsoc=TW_CC" TargetMode="External"/><Relationship Id="rId2933" Type="http://schemas.openxmlformats.org/officeDocument/2006/relationships/hyperlink" Target="https://www.eldiario.es/tecnologia/partidos-enviarte-propaganda-politica-consentimiento_0_837466634.html" TargetMode="External"/><Relationship Id="rId905" Type="http://schemas.openxmlformats.org/officeDocument/2006/relationships/hyperlink" Target="https://elpais.com/elpais/2018/11/21/opinion/1542806031_921444.html?id_externo_rsoc=TW_CC" TargetMode="External"/><Relationship Id="rId1742" Type="http://schemas.openxmlformats.org/officeDocument/2006/relationships/hyperlink" Target="https://elpais.com/elpais/2018/11/21/opinion/1542806031_921444.html?id_externo_rsoc=TW_CC" TargetMode="External"/><Relationship Id="rId34" Type="http://schemas.openxmlformats.org/officeDocument/2006/relationships/hyperlink" Target="http://www.slaymultimedios.com/" TargetMode="External"/><Relationship Id="rId1602" Type="http://schemas.openxmlformats.org/officeDocument/2006/relationships/hyperlink" Target="https://pbs.twimg.com/media/DslubFQXQAAofAn.jpg" TargetMode="External"/><Relationship Id="rId183" Type="http://schemas.openxmlformats.org/officeDocument/2006/relationships/hyperlink" Target="https://afectadosporlascooperativas.wordpress.com/" TargetMode="External"/><Relationship Id="rId390" Type="http://schemas.openxmlformats.org/officeDocument/2006/relationships/hyperlink" Target="https://www.elindependiente.com/politica/2018/11/23/pablo-iglesias-defiende-gibraltar-los-trabajadores-no-patriotismo-extrano/?utm_source=share_buttons&amp;utm_medium=twitter&amp;utm_campaign=social_share" TargetMode="External"/><Relationship Id="rId1907" Type="http://schemas.openxmlformats.org/officeDocument/2006/relationships/hyperlink" Target="http://www.crimefictionlover.com/" TargetMode="External"/><Relationship Id="rId2071" Type="http://schemas.openxmlformats.org/officeDocument/2006/relationships/hyperlink" Target="https://www.elmundo.es/economia/macroeconomia/2018/11/21/5bf542fa46163f8e9e8b4669.html" TargetMode="External"/><Relationship Id="rId250" Type="http://schemas.openxmlformats.org/officeDocument/2006/relationships/hyperlink" Target="http://serviciodomesticoactivo.blogspot.com.es/p/quienes-somos.html" TargetMode="External"/><Relationship Id="rId488" Type="http://schemas.openxmlformats.org/officeDocument/2006/relationships/hyperlink" Target="http://cadenaser.com/programa/2018/11/22/hoy_por_hoy/1542900365_285470.html" TargetMode="External"/><Relationship Id="rId695" Type="http://schemas.openxmlformats.org/officeDocument/2006/relationships/hyperlink" Target="https://twitter.com/Juan200363/status/1065712365218476032" TargetMode="External"/><Relationship Id="rId2169" Type="http://schemas.openxmlformats.org/officeDocument/2006/relationships/hyperlink" Target="http://www.intersocial.es/" TargetMode="External"/><Relationship Id="rId2376" Type="http://schemas.openxmlformats.org/officeDocument/2006/relationships/hyperlink" Target="https://pbs.twimg.com/media/Dse_mDeXcAAb1UH.jpg" TargetMode="External"/><Relationship Id="rId2583" Type="http://schemas.openxmlformats.org/officeDocument/2006/relationships/hyperlink" Target="https://twitter.com/ainaclotet/status/1064790581593935872" TargetMode="External"/><Relationship Id="rId2790" Type="http://schemas.openxmlformats.org/officeDocument/2006/relationships/hyperlink" Target="http://www.dnidigital.es/" TargetMode="External"/><Relationship Id="rId110" Type="http://schemas.openxmlformats.org/officeDocument/2006/relationships/hyperlink" Target="https://pbs.twimg.com/media/DssEZzIWsAEmZbl.jpg" TargetMode="External"/><Relationship Id="rId348" Type="http://schemas.openxmlformats.org/officeDocument/2006/relationships/hyperlink" Target="https://www.elplural.com/politica/pablo-iglesias-adelanto-elecciones-generales-en-el-primer-trimestre-de-2019_206876102" TargetMode="External"/><Relationship Id="rId555" Type="http://schemas.openxmlformats.org/officeDocument/2006/relationships/hyperlink" Target="https://pbs.twimg.com/media/DsqOFrZWsAAUMGM.jpg" TargetMode="External"/><Relationship Id="rId762" Type="http://schemas.openxmlformats.org/officeDocument/2006/relationships/hyperlink" Target="http://www.radiosporting.es/" TargetMode="External"/><Relationship Id="rId1185" Type="http://schemas.openxmlformats.org/officeDocument/2006/relationships/hyperlink" Target="http://www.youtube.com/channel/UCT6Zy6dkQsfxARRlPOjbn0A" TargetMode="External"/><Relationship Id="rId1392" Type="http://schemas.openxmlformats.org/officeDocument/2006/relationships/hyperlink" Target="https://www.youtube.com/channel/UC3Bwzkx1_CQZ4EtBKDUOwNw" TargetMode="External"/><Relationship Id="rId2029" Type="http://schemas.openxmlformats.org/officeDocument/2006/relationships/hyperlink" Target="https://pbs.twimg.com/media/DsioXV3XoAAe76Z.jpg" TargetMode="External"/><Relationship Id="rId2236" Type="http://schemas.openxmlformats.org/officeDocument/2006/relationships/hyperlink" Target="http://www.sajimes.blogspot.com/" TargetMode="External"/><Relationship Id="rId2443" Type="http://schemas.openxmlformats.org/officeDocument/2006/relationships/hyperlink" Target="https://twitter.com/lasvocesdelpue/status/1065015422112727040" TargetMode="External"/><Relationship Id="rId2650" Type="http://schemas.openxmlformats.org/officeDocument/2006/relationships/hyperlink" Target="http://www.fortapache.es/" TargetMode="External"/><Relationship Id="rId2888" Type="http://schemas.openxmlformats.org/officeDocument/2006/relationships/hyperlink" Target="https://www.redaccionmedica.com/secciones/parlamentarios/-podemos-quiere-fiscalizar-y-publicar-cada-pago-de-la-industria-a-un-medico-5421" TargetMode="External"/><Relationship Id="rId208" Type="http://schemas.openxmlformats.org/officeDocument/2006/relationships/hyperlink" Target="https://www.elmundo.es/espana/2018/11/23/5bf7ccc0268e3e66388b45d4.html" TargetMode="External"/><Relationship Id="rId415" Type="http://schemas.openxmlformats.org/officeDocument/2006/relationships/hyperlink" Target="https://www.facebook.com/victoriandres" TargetMode="External"/><Relationship Id="rId622" Type="http://schemas.openxmlformats.org/officeDocument/2006/relationships/hyperlink" Target="http://www.facebook.com/Gibraltar.Espannol" TargetMode="External"/><Relationship Id="rId1045" Type="http://schemas.openxmlformats.org/officeDocument/2006/relationships/hyperlink" Target="https://okdiario.com/espana/2018/11/22/gobierno-reconoce-que-tumba-franco-inviolable-sin-autorizacion-del-prior-3376567" TargetMode="External"/><Relationship Id="rId1252" Type="http://schemas.openxmlformats.org/officeDocument/2006/relationships/hyperlink" Target="http://pic.twitter.com/yLoIkmZf1E" TargetMode="External"/><Relationship Id="rId1697" Type="http://schemas.openxmlformats.org/officeDocument/2006/relationships/hyperlink" Target="https://elpais.com/elpais/2018/11/21/opinion/1542806031_921444.html?id_externo_rsoc=TW_CC" TargetMode="External"/><Relationship Id="rId2303" Type="http://schemas.openxmlformats.org/officeDocument/2006/relationships/hyperlink" Target="https://www.theguardian.com/world/ng-interactive/2018/nov/21/how-populist-are-you-quiz" TargetMode="External"/><Relationship Id="rId2510" Type="http://schemas.openxmlformats.org/officeDocument/2006/relationships/hyperlink" Target="http://verdaderaizquierda.blogspot.com/" TargetMode="External"/><Relationship Id="rId2748" Type="http://schemas.openxmlformats.org/officeDocument/2006/relationships/hyperlink" Target="https://www.elmundo.es/espana/2018/11/20/5bf407ae46163f14b08b460e.html" TargetMode="External"/><Relationship Id="rId2955" Type="http://schemas.openxmlformats.org/officeDocument/2006/relationships/hyperlink" Target="https://pbs.twimg.com/media/DscocjnXoAA8JUb.jpg" TargetMode="External"/><Relationship Id="rId927" Type="http://schemas.openxmlformats.org/officeDocument/2006/relationships/hyperlink" Target="https://pbs.twimg.com/media/Dsn3PgeWoAIziRo.jpg" TargetMode="External"/><Relationship Id="rId1112" Type="http://schemas.openxmlformats.org/officeDocument/2006/relationships/hyperlink" Target="http://pic.twitter.com/MtgboMOn4f" TargetMode="External"/><Relationship Id="rId1557" Type="http://schemas.openxmlformats.org/officeDocument/2006/relationships/hyperlink" Target="https://bit.ly/2DsUalY" TargetMode="External"/><Relationship Id="rId1764" Type="http://schemas.openxmlformats.org/officeDocument/2006/relationships/hyperlink" Target="https://www.facebook.com/PabloLoaizaB" TargetMode="External"/><Relationship Id="rId1971" Type="http://schemas.openxmlformats.org/officeDocument/2006/relationships/hyperlink" Target="http://paper.li/Famelica_legion/1339749984" TargetMode="External"/><Relationship Id="rId2608" Type="http://schemas.openxmlformats.org/officeDocument/2006/relationships/hyperlink" Target="http://bit.ly/2OUHFSi" TargetMode="External"/><Relationship Id="rId2815" Type="http://schemas.openxmlformats.org/officeDocument/2006/relationships/hyperlink" Target="https://pbs.twimg.com/media/DsdLv4QX4AAfrjP.jpg" TargetMode="External"/><Relationship Id="rId56" Type="http://schemas.openxmlformats.org/officeDocument/2006/relationships/hyperlink" Target="http://page.is/manuela-murias" TargetMode="External"/><Relationship Id="rId1417" Type="http://schemas.openxmlformats.org/officeDocument/2006/relationships/hyperlink" Target="https://elpais.com/ccaa/2018/11/21/madrid/1542809833_914161.html" TargetMode="External"/><Relationship Id="rId1624" Type="http://schemas.openxmlformats.org/officeDocument/2006/relationships/hyperlink" Target="https://pbs.twimg.com/media/Dsl5IgmWoAACsoB.jpg" TargetMode="External"/><Relationship Id="rId1831" Type="http://schemas.openxmlformats.org/officeDocument/2006/relationships/hyperlink" Target="http://pic.twitter.com/tBeiteoySn" TargetMode="External"/><Relationship Id="rId1929" Type="http://schemas.openxmlformats.org/officeDocument/2006/relationships/hyperlink" Target="https://twitter.com/Pablo_Iglesias_/status/1065182868538822656" TargetMode="External"/><Relationship Id="rId2093" Type="http://schemas.openxmlformats.org/officeDocument/2006/relationships/hyperlink" Target="http://pic.twitter.com/VmsAaA85Rr" TargetMode="External"/><Relationship Id="rId2398" Type="http://schemas.openxmlformats.org/officeDocument/2006/relationships/hyperlink" Target="http://fuentedebaco.blogspot.com/" TargetMode="External"/><Relationship Id="rId272" Type="http://schemas.openxmlformats.org/officeDocument/2006/relationships/hyperlink" Target="http://johnnyzuri.zurired.es/" TargetMode="External"/><Relationship Id="rId577" Type="http://schemas.openxmlformats.org/officeDocument/2006/relationships/hyperlink" Target="https://www.elnortedecastilla.es/nacional/sanchez-choca-iglesias-presupuestos-20181117211432-ntrc.html" TargetMode="External"/><Relationship Id="rId2160" Type="http://schemas.openxmlformats.org/officeDocument/2006/relationships/hyperlink" Target="http://www.esdiario.com/" TargetMode="External"/><Relationship Id="rId2258" Type="http://schemas.openxmlformats.org/officeDocument/2006/relationships/hyperlink" Target="http://google.com/" TargetMode="External"/><Relationship Id="rId132" Type="http://schemas.openxmlformats.org/officeDocument/2006/relationships/hyperlink" Target="https://bit.ly/2DF5ICQ" TargetMode="External"/><Relationship Id="rId784" Type="http://schemas.openxmlformats.org/officeDocument/2006/relationships/hyperlink" Target="https://www.youtube.com/watch?v=kFH5l3IF8sk" TargetMode="External"/><Relationship Id="rId991" Type="http://schemas.openxmlformats.org/officeDocument/2006/relationships/hyperlink" Target="http://arsenaldeletras.com/" TargetMode="External"/><Relationship Id="rId1067" Type="http://schemas.openxmlformats.org/officeDocument/2006/relationships/hyperlink" Target="https://www.laopiniondemalaga.es/andalucia/2018/11/22/iglesias-garzon-cerraran-campana-aa/1049220.html" TargetMode="External"/><Relationship Id="rId2020" Type="http://schemas.openxmlformats.org/officeDocument/2006/relationships/hyperlink" Target="https://pbs.twimg.com/media/DsivDIsWsAAe6Ae.jpg" TargetMode="External"/><Relationship Id="rId2465" Type="http://schemas.openxmlformats.org/officeDocument/2006/relationships/hyperlink" Target="http://www.digo-yo.es/author/esparroqui/" TargetMode="External"/><Relationship Id="rId2672" Type="http://schemas.openxmlformats.org/officeDocument/2006/relationships/hyperlink" Target="http://a.msn.com/01/es-es/BBPULxB?ocid=st" TargetMode="External"/><Relationship Id="rId437" Type="http://schemas.openxmlformats.org/officeDocument/2006/relationships/hyperlink" Target="https://pbs.twimg.com/media/DsrIrC9X4AA7E6H.jpg" TargetMode="External"/><Relationship Id="rId644" Type="http://schemas.openxmlformats.org/officeDocument/2006/relationships/hyperlink" Target="http://informalia.eleconomista.es/informalia/actualidad/noticias/9536886/11/18/Pablo-Iglesias-propone-una-boda-roja-soft-para-la-monarquia-y-reivindica-la-republica.html" TargetMode="External"/><Relationship Id="rId851" Type="http://schemas.openxmlformats.org/officeDocument/2006/relationships/hyperlink" Target="https://es.m.wikiquote.org/wiki/Winston_Churchill" TargetMode="External"/><Relationship Id="rId1274" Type="http://schemas.openxmlformats.org/officeDocument/2006/relationships/hyperlink" Target="http://curiouscat.me/lilsticky" TargetMode="External"/><Relationship Id="rId1481" Type="http://schemas.openxmlformats.org/officeDocument/2006/relationships/hyperlink" Target="https://elpais.com/elpais/2018/11/21/opinion/1542806031_921444.html?id_externo_rsoc=TW_CC" TargetMode="External"/><Relationship Id="rId1579" Type="http://schemas.openxmlformats.org/officeDocument/2006/relationships/hyperlink" Target="https://okdiario.com/espana/2017/06/12/pp-obligara-iglesias-explicar-senado-cuenta-272-000-paraiso-fiscal-1068194" TargetMode="External"/><Relationship Id="rId2118" Type="http://schemas.openxmlformats.org/officeDocument/2006/relationships/hyperlink" Target="http://www.amgarciac.es/" TargetMode="External"/><Relationship Id="rId2325" Type="http://schemas.openxmlformats.org/officeDocument/2006/relationships/hyperlink" Target="https://podemos.info/" TargetMode="External"/><Relationship Id="rId2532" Type="http://schemas.openxmlformats.org/officeDocument/2006/relationships/hyperlink" Target="https://www.youtube.com/c/ElPeriodistaCamorrista" TargetMode="External"/><Relationship Id="rId2977" Type="http://schemas.openxmlformats.org/officeDocument/2006/relationships/hyperlink" Target="http://www.bit.ly/CazaEsViolencia" TargetMode="External"/><Relationship Id="rId504" Type="http://schemas.openxmlformats.org/officeDocument/2006/relationships/hyperlink" Target="https://www.periodistadigital.com/periodismo/internet/2018/11/23/colosal-bano-nacho-torreblanca-iglesias-desmontando-articulo-antimonarquico-elpais.shtml" TargetMode="External"/><Relationship Id="rId711" Type="http://schemas.openxmlformats.org/officeDocument/2006/relationships/hyperlink" Target="https://pbs.twimg.com/media/Dsop08SXcAAH3Xv.jpg" TargetMode="External"/><Relationship Id="rId949" Type="http://schemas.openxmlformats.org/officeDocument/2006/relationships/hyperlink" Target="https://pbs.twimg.com/media/DslubFQXQAAofAn.jpg" TargetMode="External"/><Relationship Id="rId1134" Type="http://schemas.openxmlformats.org/officeDocument/2006/relationships/hyperlink" Target="http://ellmeteco.wordpress.com/" TargetMode="External"/><Relationship Id="rId1341" Type="http://schemas.openxmlformats.org/officeDocument/2006/relationships/hyperlink" Target="https://lapaseata.net/2018/11/21/basta-ya-pablo-iglesias/" TargetMode="External"/><Relationship Id="rId1786" Type="http://schemas.openxmlformats.org/officeDocument/2006/relationships/hyperlink" Target="https://kaosenlared.net/pablo-iglesiasla-bandera-tricolor-es-el-simbolo-de-los-perdedores-y-no-volvera-a-resurgir/" TargetMode="External"/><Relationship Id="rId1993" Type="http://schemas.openxmlformats.org/officeDocument/2006/relationships/hyperlink" Target="https://pbs.twimg.com/media/Dsirx1-XoAApFTJ.jpg" TargetMode="External"/><Relationship Id="rId2837" Type="http://schemas.openxmlformats.org/officeDocument/2006/relationships/hyperlink" Target="http://instagram.com/ramonMLGA" TargetMode="External"/><Relationship Id="rId78" Type="http://schemas.openxmlformats.org/officeDocument/2006/relationships/hyperlink" Target="http://www.pepecontreras.blogspot.com/" TargetMode="External"/><Relationship Id="rId809" Type="http://schemas.openxmlformats.org/officeDocument/2006/relationships/hyperlink" Target="https://circulopodemoselescorial.blogspot.com/" TargetMode="External"/><Relationship Id="rId1201" Type="http://schemas.openxmlformats.org/officeDocument/2006/relationships/hyperlink" Target="https://pbs.twimg.com/media/DslubFQXQAAofAn.jpg" TargetMode="External"/><Relationship Id="rId1439" Type="http://schemas.openxmlformats.org/officeDocument/2006/relationships/hyperlink" Target="https://elpais.com/elpais/2018/11/21/opinion/1542806031_921444.html?id_externo_rsoc=TW_CC" TargetMode="External"/><Relationship Id="rId1646" Type="http://schemas.openxmlformats.org/officeDocument/2006/relationships/hyperlink" Target="https://cmadrid.podemos.info/organizacion/consejo-ciudadano/jesus-santos/" TargetMode="External"/><Relationship Id="rId1853" Type="http://schemas.openxmlformats.org/officeDocument/2006/relationships/hyperlink" Target="https://elpais.com/politica/2018/11/21/actualidad/1542798709_547217.html" TargetMode="External"/><Relationship Id="rId2904" Type="http://schemas.openxmlformats.org/officeDocument/2006/relationships/hyperlink" Target="https://www.libredirectotalavera.es/2018/11/20/pablo-iglesias-celebra-la-familia-horcajuelo-hallazgo-los-restos-del-sargento-republicano-fusilado-talavera/" TargetMode="External"/><Relationship Id="rId1506" Type="http://schemas.openxmlformats.org/officeDocument/2006/relationships/hyperlink" Target="http://es.linkedin.com/in/davidpmadrid" TargetMode="External"/><Relationship Id="rId1713" Type="http://schemas.openxmlformats.org/officeDocument/2006/relationships/hyperlink" Target="http://trendinalia.com/twitter-trending-topics/spain/" TargetMode="External"/><Relationship Id="rId1920" Type="http://schemas.openxmlformats.org/officeDocument/2006/relationships/hyperlink" Target="https://granadablogs.com/cableados/2018/11/21/que-tiene-teresa/" TargetMode="External"/><Relationship Id="rId294" Type="http://schemas.openxmlformats.org/officeDocument/2006/relationships/hyperlink" Target="https://www.elconfidencial.com/espana/2018-11-23/brexit-gibraltar-pablo-iglesias-pedro-sanchez-patriotismo_1664358/?utm_source=twitter&amp;utm_medium=social&amp;utm_campaign=NacionalDiarioAutomatico" TargetMode="External"/><Relationship Id="rId2182" Type="http://schemas.openxmlformats.org/officeDocument/2006/relationships/hyperlink" Target="http://www.prnoticias.com/" TargetMode="External"/><Relationship Id="rId154" Type="http://schemas.openxmlformats.org/officeDocument/2006/relationships/hyperlink" Target="http://www.denaes.es/" TargetMode="External"/><Relationship Id="rId361" Type="http://schemas.openxmlformats.org/officeDocument/2006/relationships/hyperlink" Target="https://pbs.twimg.com/media/DsnJCcpXcAAdF3S.jpg" TargetMode="External"/><Relationship Id="rId599" Type="http://schemas.openxmlformats.org/officeDocument/2006/relationships/hyperlink" Target="http://pic.twitter.com/11f1GdHVMs" TargetMode="External"/><Relationship Id="rId2042" Type="http://schemas.openxmlformats.org/officeDocument/2006/relationships/hyperlink" Target="http://dlvr.it/Qrn9Nw" TargetMode="External"/><Relationship Id="rId2487" Type="http://schemas.openxmlformats.org/officeDocument/2006/relationships/hyperlink" Target="https://www.huffingtonpost.es/2018/11/12/la-efusiva-reaccion-de-pablo-iglesias-al-ver-esta-comparacion-con-un-personaje-de-los-simpson_a_23586987/" TargetMode="External"/><Relationship Id="rId2694" Type="http://schemas.openxmlformats.org/officeDocument/2006/relationships/hyperlink" Target="https://www.lasexta.com/programas/al-rojo-vivo/entrevistas/pablo-iglesias-el-gobierno-se-habria-podido-currar-mas-que-salgan-los-pge-no-podemos-hacerlo-todo-video_201811205bf4093f0cf2abe03a75241e.html" TargetMode="External"/><Relationship Id="rId459" Type="http://schemas.openxmlformats.org/officeDocument/2006/relationships/hyperlink" Target="https://twitter.com/gabrielrufian/status/1065574801438322688" TargetMode="External"/><Relationship Id="rId666" Type="http://schemas.openxmlformats.org/officeDocument/2006/relationships/hyperlink" Target="http://www.communia.es/" TargetMode="External"/><Relationship Id="rId873" Type="http://schemas.openxmlformats.org/officeDocument/2006/relationships/hyperlink" Target="https://www.theguardian.com/world/ng-interactive/2018/nov/21/how-populist-are-you-quiz" TargetMode="External"/><Relationship Id="rId1089" Type="http://schemas.openxmlformats.org/officeDocument/2006/relationships/hyperlink" Target="http://loscuervosdelademocracia.es/" TargetMode="External"/><Relationship Id="rId1296" Type="http://schemas.openxmlformats.org/officeDocument/2006/relationships/hyperlink" Target="https://pbs.twimg.com/media/DsmjPZlWkAATi4x.jpg" TargetMode="External"/><Relationship Id="rId2347" Type="http://schemas.openxmlformats.org/officeDocument/2006/relationships/hyperlink" Target="https://www.elmundo.es/andalucia/2018/11/21/5bf46ba046163f4da28b4607.html" TargetMode="External"/><Relationship Id="rId2554" Type="http://schemas.openxmlformats.org/officeDocument/2006/relationships/hyperlink" Target="https://twitter.com/pnique/status/1064925019451678720" TargetMode="External"/><Relationship Id="rId221" Type="http://schemas.openxmlformats.org/officeDocument/2006/relationships/hyperlink" Target="https://ift.tt/2S9i4HA" TargetMode="External"/><Relationship Id="rId319" Type="http://schemas.openxmlformats.org/officeDocument/2006/relationships/hyperlink" Target="https://twitter.com/RossVzla29/status/1064998626018111488" TargetMode="External"/><Relationship Id="rId526" Type="http://schemas.openxmlformats.org/officeDocument/2006/relationships/hyperlink" Target="https://elpais.com/elpais/2018/11/21/opinion/1542806031_921444.amp.html" TargetMode="External"/><Relationship Id="rId1156" Type="http://schemas.openxmlformats.org/officeDocument/2006/relationships/hyperlink" Target="https://elpais.com/elpais/2018/11/21/planeta_futuro/1542825351_485530.html?id_externo_rsoc=TW_CC" TargetMode="External"/><Relationship Id="rId1363" Type="http://schemas.openxmlformats.org/officeDocument/2006/relationships/hyperlink" Target="http://trueno3.blogspot.com.es/" TargetMode="External"/><Relationship Id="rId2207" Type="http://schemas.openxmlformats.org/officeDocument/2006/relationships/hyperlink" Target="https://pbs.twimg.com/media/DshhV6EXQAAv-DR.jpg" TargetMode="External"/><Relationship Id="rId2761" Type="http://schemas.openxmlformats.org/officeDocument/2006/relationships/hyperlink" Target="http://youtu.be/dJQamM0sPOk?a" TargetMode="External"/><Relationship Id="rId2859" Type="http://schemas.openxmlformats.org/officeDocument/2006/relationships/hyperlink" Target="http://www.elmundo.es/" TargetMode="External"/><Relationship Id="rId733" Type="http://schemas.openxmlformats.org/officeDocument/2006/relationships/hyperlink" Target="https://pbs.twimg.com/media/Dsok2lmWkAAIk31.jpg" TargetMode="External"/><Relationship Id="rId940" Type="http://schemas.openxmlformats.org/officeDocument/2006/relationships/hyperlink" Target="https://pbs.twimg.com/media/Dsn0bCQXoAAO8cb.jpg" TargetMode="External"/><Relationship Id="rId1016" Type="http://schemas.openxmlformats.org/officeDocument/2006/relationships/hyperlink" Target="https://youtu.be/ROMeqNS5XKM" TargetMode="External"/><Relationship Id="rId1570" Type="http://schemas.openxmlformats.org/officeDocument/2006/relationships/hyperlink" Target="http://www.instagram.com/xavierdomenechs" TargetMode="External"/><Relationship Id="rId1668" Type="http://schemas.openxmlformats.org/officeDocument/2006/relationships/hyperlink" Target="http://aitorferna.weebly.com/" TargetMode="External"/><Relationship Id="rId1875" Type="http://schemas.openxmlformats.org/officeDocument/2006/relationships/hyperlink" Target="https://www.cuartopoder.es/espana/2018/11/03/iglesias-frente-a-la-corrupcion-no-decimos-viva-el-rey-decimos-viva-la-republica/" TargetMode="External"/><Relationship Id="rId2414" Type="http://schemas.openxmlformats.org/officeDocument/2006/relationships/hyperlink" Target="https://www.elmundo.es/andalucia/2018/11/21/5bf46ba046163f4da28b4607.html" TargetMode="External"/><Relationship Id="rId2621" Type="http://schemas.openxmlformats.org/officeDocument/2006/relationships/hyperlink" Target="http://pic.twitter.com/7prDRIE9aK" TargetMode="External"/><Relationship Id="rId2719" Type="http://schemas.openxmlformats.org/officeDocument/2006/relationships/hyperlink" Target="https://pbs.twimg.com/media/DsdkY6gWkAEA3d8.jpg" TargetMode="External"/><Relationship Id="rId800" Type="http://schemas.openxmlformats.org/officeDocument/2006/relationships/hyperlink" Target="https://pbs.twimg.com/media/DsmYin-XQAEnw_Q.jpg" TargetMode="External"/><Relationship Id="rId1223" Type="http://schemas.openxmlformats.org/officeDocument/2006/relationships/hyperlink" Target="http://j.mp/2TwdrZx" TargetMode="External"/><Relationship Id="rId1430" Type="http://schemas.openxmlformats.org/officeDocument/2006/relationships/hyperlink" Target="https://elpais.com/elpais/2018/11/21/opinion/1542806031_921444.html" TargetMode="External"/><Relationship Id="rId1528" Type="http://schemas.openxmlformats.org/officeDocument/2006/relationships/hyperlink" Target="https://pbs.twimg.com/media/DsmDgGOXQAAJfVn.jpg" TargetMode="External"/><Relationship Id="rId2926" Type="http://schemas.openxmlformats.org/officeDocument/2006/relationships/hyperlink" Target="https://disoimages.com/" TargetMode="External"/><Relationship Id="rId1735" Type="http://schemas.openxmlformats.org/officeDocument/2006/relationships/hyperlink" Target="https://www.instagram.com/pabloheraspuente/" TargetMode="External"/><Relationship Id="rId1942" Type="http://schemas.openxmlformats.org/officeDocument/2006/relationships/hyperlink" Target="https://pbs.twimg.com/media/DsjJDGRXcAAtAK-.jpg" TargetMode="External"/><Relationship Id="rId27" Type="http://schemas.openxmlformats.org/officeDocument/2006/relationships/hyperlink" Target="https://es.panampost.com/guillermo-rodriguez/2018/11/18/socialismo-pobreza/" TargetMode="External"/><Relationship Id="rId1802" Type="http://schemas.openxmlformats.org/officeDocument/2006/relationships/hyperlink" Target="https://www.osoigo.com/es/p/pedro-gonzalez-rodriguez-albarino.html" TargetMode="External"/><Relationship Id="rId176" Type="http://schemas.openxmlformats.org/officeDocument/2006/relationships/hyperlink" Target="http://www.europapress.tv/" TargetMode="External"/><Relationship Id="rId383" Type="http://schemas.openxmlformats.org/officeDocument/2006/relationships/hyperlink" Target="https://pbs.twimg.com/media/DsrUXPYWwAE1PYD.jpg" TargetMode="External"/><Relationship Id="rId590" Type="http://schemas.openxmlformats.org/officeDocument/2006/relationships/hyperlink" Target="https://pbs.twimg.com/media/DspVhb2WsAIjgXY.jpg" TargetMode="External"/><Relationship Id="rId2064" Type="http://schemas.openxmlformats.org/officeDocument/2006/relationships/hyperlink" Target="https://youtu.be/LsX38asmDmU" TargetMode="External"/><Relationship Id="rId2271" Type="http://schemas.openxmlformats.org/officeDocument/2006/relationships/hyperlink" Target="https://bit.ly/2Pu0lh0" TargetMode="External"/><Relationship Id="rId243" Type="http://schemas.openxmlformats.org/officeDocument/2006/relationships/hyperlink" Target="https://ift.tt/2znEw8J" TargetMode="External"/><Relationship Id="rId450" Type="http://schemas.openxmlformats.org/officeDocument/2006/relationships/hyperlink" Target="https://elpais.com/politica/2018/11/16/actualidad/1542383208_644485.html" TargetMode="External"/><Relationship Id="rId688" Type="http://schemas.openxmlformats.org/officeDocument/2006/relationships/hyperlink" Target="https://okdiario.com/espana/2018/11/22/podemos-cierra-granma-que-lanzo-darse-autobombo-editar-solo-numero-3375752" TargetMode="External"/><Relationship Id="rId895" Type="http://schemas.openxmlformats.org/officeDocument/2006/relationships/hyperlink" Target="http://podemos.info/" TargetMode="External"/><Relationship Id="rId1080" Type="http://schemas.openxmlformats.org/officeDocument/2006/relationships/hyperlink" Target="https://elpais.com/economia/2018/11/22/actualidad/1542887036_558254.html" TargetMode="External"/><Relationship Id="rId2131" Type="http://schemas.openxmlformats.org/officeDocument/2006/relationships/hyperlink" Target="https://pbs.twimg.com/media/Dsh5-4uWwAAzn2v.jpg" TargetMode="External"/><Relationship Id="rId2369" Type="http://schemas.openxmlformats.org/officeDocument/2006/relationships/hyperlink" Target="https://www.elmundo.es/andalucia/2018/11/21/5bf46ba046163f4da28b4607.html" TargetMode="External"/><Relationship Id="rId2576" Type="http://schemas.openxmlformats.org/officeDocument/2006/relationships/hyperlink" Target="https://twitter.com/protestona1/status/1064795230682193920" TargetMode="External"/><Relationship Id="rId2783" Type="http://schemas.openxmlformats.org/officeDocument/2006/relationships/hyperlink" Target="https://pbs.twimg.com/media/DsdTWf7XoAASrIZ.jpg" TargetMode="External"/><Relationship Id="rId103" Type="http://schemas.openxmlformats.org/officeDocument/2006/relationships/hyperlink" Target="https://www.abc.es/opinion/abci-ensayo-indigente-201811230117_noticia.html" TargetMode="External"/><Relationship Id="rId310" Type="http://schemas.openxmlformats.org/officeDocument/2006/relationships/hyperlink" Target="http://cadenaser.com/programa/2018/11/22/hoy_por_hoy/1542900365_285470.html?ssm=tw" TargetMode="External"/><Relationship Id="rId548" Type="http://schemas.openxmlformats.org/officeDocument/2006/relationships/hyperlink" Target="https://elpais.com/elpais/2018/11/21/opinion/1542806031_921444.amp.html" TargetMode="External"/><Relationship Id="rId755" Type="http://schemas.openxmlformats.org/officeDocument/2006/relationships/hyperlink" Target="https://pbs.twimg.com/media/DsnyQsMWkAA1909.jpg" TargetMode="External"/><Relationship Id="rId962" Type="http://schemas.openxmlformats.org/officeDocument/2006/relationships/hyperlink" Target="https://m.eldiario.es/_31fba808" TargetMode="External"/><Relationship Id="rId1178" Type="http://schemas.openxmlformats.org/officeDocument/2006/relationships/hyperlink" Target="https://twitter.com/sarranchin" TargetMode="External"/><Relationship Id="rId1385" Type="http://schemas.openxmlformats.org/officeDocument/2006/relationships/hyperlink" Target="http://pradoalberdi.wordpress.com/" TargetMode="External"/><Relationship Id="rId1592" Type="http://schemas.openxmlformats.org/officeDocument/2006/relationships/hyperlink" Target="http://instagram.com/mangelherrero/" TargetMode="External"/><Relationship Id="rId2229" Type="http://schemas.openxmlformats.org/officeDocument/2006/relationships/hyperlink" Target="http://www.bitmomentum.com/" TargetMode="External"/><Relationship Id="rId2436" Type="http://schemas.openxmlformats.org/officeDocument/2006/relationships/hyperlink" Target="http://www.elmundo.es/andalucia/2018/11/21/5bf46ba046163f4da28b4607.html" TargetMode="External"/><Relationship Id="rId2643" Type="http://schemas.openxmlformats.org/officeDocument/2006/relationships/hyperlink" Target="https://pbs.twimg.com/media/Dsd4H81WoAAgv86.jpg" TargetMode="External"/><Relationship Id="rId2850" Type="http://schemas.openxmlformats.org/officeDocument/2006/relationships/hyperlink" Target="https://www.facebook.com/349256168587094/posts/1068072236705480/" TargetMode="External"/><Relationship Id="rId91" Type="http://schemas.openxmlformats.org/officeDocument/2006/relationships/hyperlink" Target="https://puntodeemancipacion.com/2018/11/23/conversacion-con-pablo-iglesias/" TargetMode="External"/><Relationship Id="rId408" Type="http://schemas.openxmlformats.org/officeDocument/2006/relationships/hyperlink" Target="https://pbs.twimg.com/media/DsrN0GGW0AAtyEj.jpg" TargetMode="External"/><Relationship Id="rId615" Type="http://schemas.openxmlformats.org/officeDocument/2006/relationships/hyperlink" Target="https://okdiario.com/espana/2017/06/12/pp-obligara-iglesias-explicar-senado-cuenta-272-000-paraiso-fiscal-1068194" TargetMode="External"/><Relationship Id="rId822" Type="http://schemas.openxmlformats.org/officeDocument/2006/relationships/hyperlink" Target="https://youtu.be/D85td0caXyE" TargetMode="External"/><Relationship Id="rId1038" Type="http://schemas.openxmlformats.org/officeDocument/2006/relationships/hyperlink" Target="https://www.instagram.com/leon.illustration/" TargetMode="External"/><Relationship Id="rId1245" Type="http://schemas.openxmlformats.org/officeDocument/2006/relationships/hyperlink" Target="https://pbs.twimg.com/media/DsmIuU7WwAEyJQD.jpg" TargetMode="External"/><Relationship Id="rId1452" Type="http://schemas.openxmlformats.org/officeDocument/2006/relationships/hyperlink" Target="https://elpais.com/elpais/2018/11/21/opinion/1542806031_921444.amp.html" TargetMode="External"/><Relationship Id="rId1897" Type="http://schemas.openxmlformats.org/officeDocument/2006/relationships/hyperlink" Target="https://www.theguardian.com/world/ng-interactive/2018/nov/20/revealed-one-in-four-europeans-vote-populist" TargetMode="External"/><Relationship Id="rId2503" Type="http://schemas.openxmlformats.org/officeDocument/2006/relationships/hyperlink" Target="https://www.facebook.com/profile.php?id=100007221527086" TargetMode="External"/><Relationship Id="rId2948" Type="http://schemas.openxmlformats.org/officeDocument/2006/relationships/hyperlink" Target="https://twitter.com/AsociacionMSPE/status/1064827826636025858" TargetMode="External"/><Relationship Id="rId1105" Type="http://schemas.openxmlformats.org/officeDocument/2006/relationships/hyperlink" Target="http://www.lapoliticaporotrosmedios.es/" TargetMode="External"/><Relationship Id="rId1312" Type="http://schemas.openxmlformats.org/officeDocument/2006/relationships/hyperlink" Target="https://pbs.twimg.com/media/DsmIuU7WwAEyJQD.jpg" TargetMode="External"/><Relationship Id="rId1757" Type="http://schemas.openxmlformats.org/officeDocument/2006/relationships/hyperlink" Target="https://elpais.com/elpais/2018/11/21/opinion/1542806031_921444.html?id_externo_rsoc=TW_CC" TargetMode="External"/><Relationship Id="rId1964" Type="http://schemas.openxmlformats.org/officeDocument/2006/relationships/hyperlink" Target="https://goo.gl/zW39XB?jbc87=1930991850" TargetMode="External"/><Relationship Id="rId2710" Type="http://schemas.openxmlformats.org/officeDocument/2006/relationships/hyperlink" Target="https://www.elmundo.es/espana/2018/11/20/5bf407ae46163f14b08b460e.html" TargetMode="External"/><Relationship Id="rId2808" Type="http://schemas.openxmlformats.org/officeDocument/2006/relationships/hyperlink" Target="https://okdiario.com/espana/2018/11/20/pablo-iglesias-probable-que-tengamos-elecciones-muy-pronto-3371983?utm_term=Autofeed&amp;utm_campaign=ok&amp;utm_medium=Social&amp;utm_source=Twitter" TargetMode="External"/><Relationship Id="rId49" Type="http://schemas.openxmlformats.org/officeDocument/2006/relationships/hyperlink" Target="https://ift.tt/2r4c4nH" TargetMode="External"/><Relationship Id="rId1617" Type="http://schemas.openxmlformats.org/officeDocument/2006/relationships/hyperlink" Target="https://ift.tt/2QexcGf" TargetMode="External"/><Relationship Id="rId1824" Type="http://schemas.openxmlformats.org/officeDocument/2006/relationships/hyperlink" Target="https://pbs.twimg.com/media/Dsj4J5oXcAAfqNe.jpg" TargetMode="External"/><Relationship Id="rId198" Type="http://schemas.openxmlformats.org/officeDocument/2006/relationships/hyperlink" Target="https://www.facebook.com/FederacionAICE/posts/2187808597904262" TargetMode="External"/><Relationship Id="rId2086" Type="http://schemas.openxmlformats.org/officeDocument/2006/relationships/hyperlink" Target="http://pic.twitter.com/r8h3bPv983" TargetMode="External"/><Relationship Id="rId2293" Type="http://schemas.openxmlformats.org/officeDocument/2006/relationships/hyperlink" Target="http://ow.ly/tIJK30mDEqk" TargetMode="External"/><Relationship Id="rId2598" Type="http://schemas.openxmlformats.org/officeDocument/2006/relationships/hyperlink" Target="http://www.grancanariatv.com/" TargetMode="External"/><Relationship Id="rId265" Type="http://schemas.openxmlformats.org/officeDocument/2006/relationships/hyperlink" Target="https://okdiario-com.cdn.ampproject.org/v/s/okdiario.com/espana/2018/11/23/iglesias-califica-patriotismo-extrano-defender-soberania-gibraltar-3382790/amp?amp_js_v=a2&amp;amp_gsa=1" TargetMode="External"/><Relationship Id="rId472" Type="http://schemas.openxmlformats.org/officeDocument/2006/relationships/hyperlink" Target="https://www.facebook.com/AnaDominguezRama/" TargetMode="External"/><Relationship Id="rId2153" Type="http://schemas.openxmlformats.org/officeDocument/2006/relationships/hyperlink" Target="https://www.elmundo.es/andalucia/2018/11/21/5bf46ba046163f4da28b4607.html" TargetMode="External"/><Relationship Id="rId2360" Type="http://schemas.openxmlformats.org/officeDocument/2006/relationships/hyperlink" Target="https://pbs.twimg.com/media/Dsg0wBMXoAAp5qm.jpg" TargetMode="External"/><Relationship Id="rId125" Type="http://schemas.openxmlformats.org/officeDocument/2006/relationships/hyperlink" Target="https://projecto2019vendre.wixsite.com/tatarlak" TargetMode="External"/><Relationship Id="rId332" Type="http://schemas.openxmlformats.org/officeDocument/2006/relationships/hyperlink" Target="https://elpais.com/elpais/2018/11/21/opinion/1542806031_921444.html" TargetMode="External"/><Relationship Id="rId777" Type="http://schemas.openxmlformats.org/officeDocument/2006/relationships/hyperlink" Target="https://pbs.twimg.com/media/DsoV7J1XcAEV-hd.jpg" TargetMode="External"/><Relationship Id="rId984" Type="http://schemas.openxmlformats.org/officeDocument/2006/relationships/hyperlink" Target="https://elpais.com/elpais/2018/11/21/opinion/1542806031_921444.html?id_externo_rsoc=TW_CC" TargetMode="External"/><Relationship Id="rId2013" Type="http://schemas.openxmlformats.org/officeDocument/2006/relationships/hyperlink" Target="https://pbs.twimg.com/media/DsiY1BXXoAAelVp.jpg" TargetMode="External"/><Relationship Id="rId2220" Type="http://schemas.openxmlformats.org/officeDocument/2006/relationships/hyperlink" Target="https://www.elmundo.es/andalucia/2018/11/21/5bf46ba046163f4da28b4607.html" TargetMode="External"/><Relationship Id="rId2458" Type="http://schemas.openxmlformats.org/officeDocument/2006/relationships/hyperlink" Target="https://goo.gl/6i9iU8?jxg98=9725222871" TargetMode="External"/><Relationship Id="rId2665" Type="http://schemas.openxmlformats.org/officeDocument/2006/relationships/hyperlink" Target="http://www.elimparcial.es/" TargetMode="External"/><Relationship Id="rId2872" Type="http://schemas.openxmlformats.org/officeDocument/2006/relationships/hyperlink" Target="https://twitter.com/marubimo/status/1064253651382927360" TargetMode="External"/><Relationship Id="rId637" Type="http://schemas.openxmlformats.org/officeDocument/2006/relationships/hyperlink" Target="http://eldiario.es/" TargetMode="External"/><Relationship Id="rId844" Type="http://schemas.openxmlformats.org/officeDocument/2006/relationships/hyperlink" Target="https://pbs.twimg.com/media/DsoFLLsW0AAWev2.jpg" TargetMode="External"/><Relationship Id="rId1267" Type="http://schemas.openxmlformats.org/officeDocument/2006/relationships/hyperlink" Target="https://elpais.com/elpais/2018/11/21/opinion/1542806031_921444.html?id_externo_rsoc=TW_CC" TargetMode="External"/><Relationship Id="rId1474" Type="http://schemas.openxmlformats.org/officeDocument/2006/relationships/hyperlink" Target="https://elpais.com/elpais/2018/11/21/opinion/1542806031_921444.html" TargetMode="External"/><Relationship Id="rId1681" Type="http://schemas.openxmlformats.org/officeDocument/2006/relationships/hyperlink" Target="https://elpais.com/elpais/2018/11/21/opinion/1542806031_921444.html?id_externo_rsoc=TW_CC" TargetMode="External"/><Relationship Id="rId2318" Type="http://schemas.openxmlformats.org/officeDocument/2006/relationships/hyperlink" Target="http://www.masby.net/informacion-web.html" TargetMode="External"/><Relationship Id="rId2525" Type="http://schemas.openxmlformats.org/officeDocument/2006/relationships/hyperlink" Target="http://www.ondacero.es/programas/la-brujula/" TargetMode="External"/><Relationship Id="rId2732" Type="http://schemas.openxmlformats.org/officeDocument/2006/relationships/hyperlink" Target="https://www.elmundo.es/espana/2018/11/20/5bf407ae46163f14b08b460e.html" TargetMode="External"/><Relationship Id="rId704" Type="http://schemas.openxmlformats.org/officeDocument/2006/relationships/hyperlink" Target="http://golpes.no/" TargetMode="External"/><Relationship Id="rId911" Type="http://schemas.openxmlformats.org/officeDocument/2006/relationships/hyperlink" Target="https://elpais.com/elpais/2018/11/21/opinion/1542806031_921444.html?id_externo_rsoc=TW_CC" TargetMode="External"/><Relationship Id="rId1127" Type="http://schemas.openxmlformats.org/officeDocument/2006/relationships/hyperlink" Target="https://www.idealista.com/news/deco/casas-de-famosos/2018/05/16/765669-esta-es-la-casa-que-pablo-iglesias-e-irene-montero-se-han-comprado-en-madrid-y?amp=1" TargetMode="External"/><Relationship Id="rId1334" Type="http://schemas.openxmlformats.org/officeDocument/2006/relationships/hyperlink" Target="https://pbs.twimg.com/media/Dsmcq7oWsAAyclM.jpg" TargetMode="External"/><Relationship Id="rId1541" Type="http://schemas.openxmlformats.org/officeDocument/2006/relationships/hyperlink" Target="http://www.alexandremuscalu.com/" TargetMode="External"/><Relationship Id="rId1779" Type="http://schemas.openxmlformats.org/officeDocument/2006/relationships/hyperlink" Target="https://www.theguardian.com/world/ng-interactive/2018/nov/21/how-populist-are-you-quiz?CMP=share_btn_fb" TargetMode="External"/><Relationship Id="rId1986" Type="http://schemas.openxmlformats.org/officeDocument/2006/relationships/hyperlink" Target="http://pic.twitter.com/yWk4lv8RFA" TargetMode="External"/><Relationship Id="rId40" Type="http://schemas.openxmlformats.org/officeDocument/2006/relationships/hyperlink" Target="https://vimeo.com/171016428" TargetMode="External"/><Relationship Id="rId1401" Type="http://schemas.openxmlformats.org/officeDocument/2006/relationships/hyperlink" Target="http://errenteriagorria.blogspot.com/2018/11/para-que-sirve-hoy-la-monarquia-pablo.html" TargetMode="External"/><Relationship Id="rId1639" Type="http://schemas.openxmlformats.org/officeDocument/2006/relationships/hyperlink" Target="https://elpais.com/elpais/2018/11/21/opinion/1542806031_921444.html?id_externo_rsoc=TW_CC" TargetMode="External"/><Relationship Id="rId1846" Type="http://schemas.openxmlformats.org/officeDocument/2006/relationships/hyperlink" Target="https://youtu.be/JiPTw8JIwkU" TargetMode="External"/><Relationship Id="rId1706" Type="http://schemas.openxmlformats.org/officeDocument/2006/relationships/hyperlink" Target="http://castillalamancha.podemos.info/" TargetMode="External"/><Relationship Id="rId1913" Type="http://schemas.openxmlformats.org/officeDocument/2006/relationships/hyperlink" Target="https://pbs.twimg.com/media/DsjTxixWwAYv4iM.jpg" TargetMode="External"/><Relationship Id="rId287" Type="http://schemas.openxmlformats.org/officeDocument/2006/relationships/hyperlink" Target="http://madridiario.es/" TargetMode="External"/><Relationship Id="rId494" Type="http://schemas.openxmlformats.org/officeDocument/2006/relationships/hyperlink" Target="https://pbs.twimg.com/media/DsrCz1wXQAApUF4.jpg" TargetMode="External"/><Relationship Id="rId2175" Type="http://schemas.openxmlformats.org/officeDocument/2006/relationships/hyperlink" Target="http://instagram.com/javi_garras" TargetMode="External"/><Relationship Id="rId2382" Type="http://schemas.openxmlformats.org/officeDocument/2006/relationships/hyperlink" Target="https://www.facebook.com/profile.php?id=100011075051553" TargetMode="External"/><Relationship Id="rId147" Type="http://schemas.openxmlformats.org/officeDocument/2006/relationships/hyperlink" Target="https://www.facebook.com/permalink.php?story_fbid=706956799683482&amp;id=100011075051553" TargetMode="External"/><Relationship Id="rId354" Type="http://schemas.openxmlformats.org/officeDocument/2006/relationships/hyperlink" Target="http://www.servimedia.es/" TargetMode="External"/><Relationship Id="rId799" Type="http://schemas.openxmlformats.org/officeDocument/2006/relationships/hyperlink" Target="https://www.eldiario.es/rastreador/Hermann-Tertsch-monarquia-Pablo-Iglesias_6_838576136.html" TargetMode="External"/><Relationship Id="rId1191" Type="http://schemas.openxmlformats.org/officeDocument/2006/relationships/hyperlink" Target="http://icewinddale.blogspot.com/" TargetMode="External"/><Relationship Id="rId2035" Type="http://schemas.openxmlformats.org/officeDocument/2006/relationships/hyperlink" Target="https://primarias2019.podemos.info/" TargetMode="External"/><Relationship Id="rId2687" Type="http://schemas.openxmlformats.org/officeDocument/2006/relationships/hyperlink" Target="http://pic.twitter.com/cI33A5Pxwu" TargetMode="External"/><Relationship Id="rId2894" Type="http://schemas.openxmlformats.org/officeDocument/2006/relationships/hyperlink" Target="https://www.elconfidencial.com/espana/2018-11-18/desencanto-podemos-circulos-pablo-iglesias-carmena_1653050/" TargetMode="External"/><Relationship Id="rId561" Type="http://schemas.openxmlformats.org/officeDocument/2006/relationships/hyperlink" Target="https://contrainformacion.es/pablo-iglesias-seria-sensato-hacer-elecciones/" TargetMode="External"/><Relationship Id="rId659" Type="http://schemas.openxmlformats.org/officeDocument/2006/relationships/hyperlink" Target="https://twitter.com/hypatiascorner/status/1065725374502457344" TargetMode="External"/><Relationship Id="rId866" Type="http://schemas.openxmlformats.org/officeDocument/2006/relationships/hyperlink" Target="http://www.multiforo.eu/" TargetMode="External"/><Relationship Id="rId1289" Type="http://schemas.openxmlformats.org/officeDocument/2006/relationships/hyperlink" Target="https://elpais.com/elpais/2018/11/21/opinion/1542806031_921444.html" TargetMode="External"/><Relationship Id="rId1496" Type="http://schemas.openxmlformats.org/officeDocument/2006/relationships/hyperlink" Target="http://luisangelaguilar.blogspot.com/" TargetMode="External"/><Relationship Id="rId2242" Type="http://schemas.openxmlformats.org/officeDocument/2006/relationships/hyperlink" Target="http://www.prosalus.es/" TargetMode="External"/><Relationship Id="rId2547" Type="http://schemas.openxmlformats.org/officeDocument/2006/relationships/hyperlink" Target="http://www.celag.org/" TargetMode="External"/><Relationship Id="rId214" Type="http://schemas.openxmlformats.org/officeDocument/2006/relationships/hyperlink" Target="http://www.expansion.com/economia/2018/11/23/5bf7bf0fe2704e3b5a8b45b6.html" TargetMode="External"/><Relationship Id="rId421" Type="http://schemas.openxmlformats.org/officeDocument/2006/relationships/hyperlink" Target="http://www.periodistadigital.com/" TargetMode="External"/><Relationship Id="rId519" Type="http://schemas.openxmlformats.org/officeDocument/2006/relationships/hyperlink" Target="https://www.periodistadigital.com/periodismo/internet/2018/11/23/colosal-bano-nacho-torreblanca-iglesias-desmontando-articulo-antimonarquico-elpais.shtml" TargetMode="External"/><Relationship Id="rId1051" Type="http://schemas.openxmlformats.org/officeDocument/2006/relationships/hyperlink" Target="http://podemos.info/" TargetMode="External"/><Relationship Id="rId1149" Type="http://schemas.openxmlformats.org/officeDocument/2006/relationships/hyperlink" Target="http://ask.fm/bufigol" TargetMode="External"/><Relationship Id="rId1356" Type="http://schemas.openxmlformats.org/officeDocument/2006/relationships/hyperlink" Target="http://podemos.info/" TargetMode="External"/><Relationship Id="rId2102" Type="http://schemas.openxmlformats.org/officeDocument/2006/relationships/hyperlink" Target="https://www.elmundo.es/andalucia/2018/11/21/5bf46ba046163f4da28b4607.html" TargetMode="External"/><Relationship Id="rId2754" Type="http://schemas.openxmlformats.org/officeDocument/2006/relationships/hyperlink" Target="https://www.youtube.com/watch?v=dJQamM0sPOk&amp;feature=youtu.be" TargetMode="External"/><Relationship Id="rId2961" Type="http://schemas.openxmlformats.org/officeDocument/2006/relationships/hyperlink" Target="https://pbs.twimg.com/media/DscNisKWwAAtAby.jpg" TargetMode="External"/><Relationship Id="rId726" Type="http://schemas.openxmlformats.org/officeDocument/2006/relationships/hyperlink" Target="https://pbs.twimg.com/media/DslfAxPW0AABwHX.jpg" TargetMode="External"/><Relationship Id="rId933" Type="http://schemas.openxmlformats.org/officeDocument/2006/relationships/hyperlink" Target="https://twitter.com/ANNAGONZALEZLO1/status/1065633366194688000" TargetMode="External"/><Relationship Id="rId1009" Type="http://schemas.openxmlformats.org/officeDocument/2006/relationships/hyperlink" Target="https://elpais.com/elpais/2018/11/21/opinion/1542806031_921444.html?id_externo_rsoc=TW_CC" TargetMode="External"/><Relationship Id="rId1563" Type="http://schemas.openxmlformats.org/officeDocument/2006/relationships/hyperlink" Target="https://elpais.com/elpais/2018/11/21/opinion/1542806031_921444.html?id_externo_rsoc=TW_CC" TargetMode="External"/><Relationship Id="rId1770" Type="http://schemas.openxmlformats.org/officeDocument/2006/relationships/hyperlink" Target="https://pbs.twimg.com/media/DseBLfmXoAcTj1A.jpg" TargetMode="External"/><Relationship Id="rId1868" Type="http://schemas.openxmlformats.org/officeDocument/2006/relationships/hyperlink" Target="https://pbs.twimg.com/media/DsjizbAW0AAbKSK.jpg" TargetMode="External"/><Relationship Id="rId2407" Type="http://schemas.openxmlformats.org/officeDocument/2006/relationships/hyperlink" Target="http://serraniadepalabras.blogspot.com/" TargetMode="External"/><Relationship Id="rId2614" Type="http://schemas.openxmlformats.org/officeDocument/2006/relationships/hyperlink" Target="http://pic.twitter.com/0P0MCNmTgu" TargetMode="External"/><Relationship Id="rId2821" Type="http://schemas.openxmlformats.org/officeDocument/2006/relationships/hyperlink" Target="http://www.europapress.es/nacional/noticia-diario-campana-electoral-directo-20151203222943.html" TargetMode="External"/><Relationship Id="rId62" Type="http://schemas.openxmlformats.org/officeDocument/2006/relationships/hyperlink" Target="https://pbs.twimg.com/media/DsnxDIoXgAIJfGd.jpg" TargetMode="External"/><Relationship Id="rId1216" Type="http://schemas.openxmlformats.org/officeDocument/2006/relationships/hyperlink" Target="https://m.eldiario.es/_31fba808" TargetMode="External"/><Relationship Id="rId1423" Type="http://schemas.openxmlformats.org/officeDocument/2006/relationships/hyperlink" Target="http://errenteriagorria.blogspot.com/2018/11/para-que-sirve-hoy-la-monarquia-pablo.html" TargetMode="External"/><Relationship Id="rId1630" Type="http://schemas.openxmlformats.org/officeDocument/2006/relationships/hyperlink" Target="https://elpais.com/elpais/2018/11/21/opinion/1542806031_921444.html?id_externo_rsoc=TW_CC" TargetMode="External"/><Relationship Id="rId2919" Type="http://schemas.openxmlformats.org/officeDocument/2006/relationships/hyperlink" Target="https://www.abc.es/internacional/abci-eeuu-dispone-incluir-venezuela-lista-patrocinadores-terrorismo-201811200440_noticia.html" TargetMode="External"/><Relationship Id="rId1728" Type="http://schemas.openxmlformats.org/officeDocument/2006/relationships/hyperlink" Target="https://elpais.com/elpais/2018/11/21/opinion/1542806031_921444.html?id_externo_rsoc=TW_CC" TargetMode="External"/><Relationship Id="rId1935" Type="http://schemas.openxmlformats.org/officeDocument/2006/relationships/hyperlink" Target="http://medium.com/@erreJulian" TargetMode="External"/><Relationship Id="rId2197" Type="http://schemas.openxmlformats.org/officeDocument/2006/relationships/hyperlink" Target="https://pbs.twimg.com/media/DshlAyIXgAUjgLD.jpg" TargetMode="External"/><Relationship Id="rId169" Type="http://schemas.openxmlformats.org/officeDocument/2006/relationships/hyperlink" Target="http://www.abc.es/" TargetMode="External"/><Relationship Id="rId376" Type="http://schemas.openxmlformats.org/officeDocument/2006/relationships/hyperlink" Target="http://www.youtube.com/user/tiojon44" TargetMode="External"/><Relationship Id="rId583" Type="http://schemas.openxmlformats.org/officeDocument/2006/relationships/hyperlink" Target="http://www.ivoox.com/escuchar-escuchando-peliculas_nq_98041_1.html" TargetMode="External"/><Relationship Id="rId790" Type="http://schemas.openxmlformats.org/officeDocument/2006/relationships/hyperlink" Target="https://informalia.eleconomista.es/informalia/actualidad/noticias/9536886/11/18/Pablo-Iglesias-propone-una-boda-roja-soft-para-la-monarquia-y-reivindica-la-republica.html" TargetMode="External"/><Relationship Id="rId2057" Type="http://schemas.openxmlformats.org/officeDocument/2006/relationships/hyperlink" Target="https://ift.tt/2FzT0Ik" TargetMode="External"/><Relationship Id="rId2264" Type="http://schemas.openxmlformats.org/officeDocument/2006/relationships/hyperlink" Target="https://pbs.twimg.com/media/DshQIFCWkAADEkH.jpg" TargetMode="External"/><Relationship Id="rId2471" Type="http://schemas.openxmlformats.org/officeDocument/2006/relationships/hyperlink" Target="https://goo.gl/QKamxZ?bjs53=3106407869" TargetMode="External"/><Relationship Id="rId4" Type="http://schemas.openxmlformats.org/officeDocument/2006/relationships/hyperlink" Target="http://podemos.info/" TargetMode="External"/><Relationship Id="rId236" Type="http://schemas.openxmlformats.org/officeDocument/2006/relationships/hyperlink" Target="https://twitter.com/mazzinguerzett1/status/1065884142938857472" TargetMode="External"/><Relationship Id="rId443" Type="http://schemas.openxmlformats.org/officeDocument/2006/relationships/hyperlink" Target="http://podemos.info/" TargetMode="External"/><Relationship Id="rId650" Type="http://schemas.openxmlformats.org/officeDocument/2006/relationships/hyperlink" Target="https://m.eldiario.es/_31fba808" TargetMode="External"/><Relationship Id="rId888" Type="http://schemas.openxmlformats.org/officeDocument/2006/relationships/hyperlink" Target="http://www.radiosporting.es/" TargetMode="External"/><Relationship Id="rId1073" Type="http://schemas.openxmlformats.org/officeDocument/2006/relationships/hyperlink" Target="https://pbs.twimg.com/media/DsDi_vHWsAEq-4w.jpg" TargetMode="External"/><Relationship Id="rId1280" Type="http://schemas.openxmlformats.org/officeDocument/2006/relationships/hyperlink" Target="https://pbs.twimg.com/media/DsmmPqTXQAA35Ee.jpg" TargetMode="External"/><Relationship Id="rId2124" Type="http://schemas.openxmlformats.org/officeDocument/2006/relationships/hyperlink" Target="http://pic.twitter.com/gS4pfPbq1j" TargetMode="External"/><Relationship Id="rId2331" Type="http://schemas.openxmlformats.org/officeDocument/2006/relationships/hyperlink" Target="https://www.elmundo.es/andalucia/2018/11/21/5bf46ba046163f4da28b4607.html" TargetMode="External"/><Relationship Id="rId2569" Type="http://schemas.openxmlformats.org/officeDocument/2006/relationships/hyperlink" Target="https://pbs.twimg.com/media/Dsd9qBYXoAE03un.jpg" TargetMode="External"/><Relationship Id="rId2776" Type="http://schemas.openxmlformats.org/officeDocument/2006/relationships/hyperlink" Target="http://youtu.be/hDs2VA9IlgU?a" TargetMode="External"/><Relationship Id="rId2983" Type="http://schemas.openxmlformats.org/officeDocument/2006/relationships/hyperlink" Target="https://twitter.com/Myguelon" TargetMode="External"/><Relationship Id="rId303" Type="http://schemas.openxmlformats.org/officeDocument/2006/relationships/hyperlink" Target="http://barricada.com.ni/somos-la-izquierda-victoriosa-y-lo-seguiremos" TargetMode="External"/><Relationship Id="rId748" Type="http://schemas.openxmlformats.org/officeDocument/2006/relationships/hyperlink" Target="http://www.libertaddigital.com/opinion/mario-noya/" TargetMode="External"/><Relationship Id="rId955" Type="http://schemas.openxmlformats.org/officeDocument/2006/relationships/hyperlink" Target="https://pbs.twimg.com/media/DsntiKYU0AEDRrG.jpg" TargetMode="External"/><Relationship Id="rId1140" Type="http://schemas.openxmlformats.org/officeDocument/2006/relationships/hyperlink" Target="http://www.luciorecalde.com/" TargetMode="External"/><Relationship Id="rId1378" Type="http://schemas.openxmlformats.org/officeDocument/2006/relationships/hyperlink" Target="http://www.libertaddigital.com/opinion/carmelo-jorda/" TargetMode="External"/><Relationship Id="rId1585" Type="http://schemas.openxmlformats.org/officeDocument/2006/relationships/hyperlink" Target="https://elpais.com/elpais/2018/11/21/opinion/1542806031_921444.html" TargetMode="External"/><Relationship Id="rId1792" Type="http://schemas.openxmlformats.org/officeDocument/2006/relationships/hyperlink" Target="https://pbs.twimg.com/media/DskOmhxWkAImuBb.jpg" TargetMode="External"/><Relationship Id="rId2429" Type="http://schemas.openxmlformats.org/officeDocument/2006/relationships/hyperlink" Target="http://www.carlosdiazdominguez.com/" TargetMode="External"/><Relationship Id="rId2636" Type="http://schemas.openxmlformats.org/officeDocument/2006/relationships/hyperlink" Target="https://pbs.twimg.com/media/Dsd5ZVHX4AAteOV.jpg" TargetMode="External"/><Relationship Id="rId2843" Type="http://schemas.openxmlformats.org/officeDocument/2006/relationships/hyperlink" Target="https://jotapov.com/2018/11/20/no-pagan-haganlo-por-espana-pablo-iglesias-presenta-la-prop-para-que-la-banca-pague-impuestos/" TargetMode="External"/><Relationship Id="rId84" Type="http://schemas.openxmlformats.org/officeDocument/2006/relationships/hyperlink" Target="https://elpais.com/elpais/2018/11/21/opinion/1542806031_921444.html?id_externo_rsoc=TW_CC" TargetMode="External"/><Relationship Id="rId510" Type="http://schemas.openxmlformats.org/officeDocument/2006/relationships/hyperlink" Target="https://www.facebook.com/TecnologiaDelBotijo" TargetMode="External"/><Relationship Id="rId608" Type="http://schemas.openxmlformats.org/officeDocument/2006/relationships/hyperlink" Target="https://pbs.twimg.com/media/DspK9CgV4AEnvz6.jpg" TargetMode="External"/><Relationship Id="rId815" Type="http://schemas.openxmlformats.org/officeDocument/2006/relationships/hyperlink" Target="https://elpais.com/elpais/2018/11/21/opinion/1542806031_921444.html?id_externo_rsoc=TW_CC" TargetMode="External"/><Relationship Id="rId1238" Type="http://schemas.openxmlformats.org/officeDocument/2006/relationships/hyperlink" Target="https://pbs.twimg.com/media/Dsmu0e5XoAAK2_I.jpg" TargetMode="External"/><Relationship Id="rId1445" Type="http://schemas.openxmlformats.org/officeDocument/2006/relationships/hyperlink" Target="https://okdiario.com/investigacion/2016/01/12/policia-descubre-que-dictadura-irani-dado-2-millones-euros-iglesias-entorno-desde-2013-52289/amp?__twitter_impression=true" TargetMode="External"/><Relationship Id="rId1652" Type="http://schemas.openxmlformats.org/officeDocument/2006/relationships/hyperlink" Target="http://www.hemisferiozero.com/" TargetMode="External"/><Relationship Id="rId1000" Type="http://schemas.openxmlformats.org/officeDocument/2006/relationships/hyperlink" Target="https://pbs.twimg.com/media/Dsnh_abWwAAaDZK.jpg" TargetMode="External"/><Relationship Id="rId1305" Type="http://schemas.openxmlformats.org/officeDocument/2006/relationships/hyperlink" Target="http://www.rionegro.com.ar/" TargetMode="External"/><Relationship Id="rId1957" Type="http://schemas.openxmlformats.org/officeDocument/2006/relationships/hyperlink" Target="https://sevilla.abc.es/andalucia/sevi-anos-y-medio-investigacion-clave-pueden-anularse-fallo-juez-nunez-201811192337_noticia_amp.html?__twitter_impression=true" TargetMode="External"/><Relationship Id="rId2703" Type="http://schemas.openxmlformats.org/officeDocument/2006/relationships/hyperlink" Target="https://youtu.be/nyKcBUxQ7Ww" TargetMode="External"/><Relationship Id="rId2910" Type="http://schemas.openxmlformats.org/officeDocument/2006/relationships/hyperlink" Target="http://pugilato.bandcamp.com/" TargetMode="External"/><Relationship Id="rId1512" Type="http://schemas.openxmlformats.org/officeDocument/2006/relationships/hyperlink" Target="https://elpais.com/elpais/2018/11/21/opinion/1542806031_921444.html" TargetMode="External"/><Relationship Id="rId1817" Type="http://schemas.openxmlformats.org/officeDocument/2006/relationships/hyperlink" Target="https://pbs.twimg.com/media/DsjfRatWkAYyNnU.jpg" TargetMode="External"/><Relationship Id="rId11" Type="http://schemas.openxmlformats.org/officeDocument/2006/relationships/hyperlink" Target="https://www.europapress.es/nacional/noticia-pablo-iglesias-asegura-no-apoyara-pedro-sanchez-patrioterismos-extranos-relacion-gibraltar-20181123115328.html" TargetMode="External"/><Relationship Id="rId398" Type="http://schemas.openxmlformats.org/officeDocument/2006/relationships/hyperlink" Target="http://www.cuartopoder.es/" TargetMode="External"/><Relationship Id="rId2079" Type="http://schemas.openxmlformats.org/officeDocument/2006/relationships/hyperlink" Target="http://www.poderopedia.org/" TargetMode="External"/><Relationship Id="rId160" Type="http://schemas.openxmlformats.org/officeDocument/2006/relationships/hyperlink" Target="http://ver.abc.es/sjtoz1" TargetMode="External"/><Relationship Id="rId2286" Type="http://schemas.openxmlformats.org/officeDocument/2006/relationships/hyperlink" Target="https://pbs.twimg.com/media/DshK_LhXcAAdO7d.jpg" TargetMode="External"/><Relationship Id="rId2493" Type="http://schemas.openxmlformats.org/officeDocument/2006/relationships/hyperlink" Target="https://twitter.com/lorena_gmartin/status/1065004042756259840" TargetMode="External"/><Relationship Id="rId258" Type="http://schemas.openxmlformats.org/officeDocument/2006/relationships/hyperlink" Target="http://flti-ci.org/" TargetMode="External"/><Relationship Id="rId465" Type="http://schemas.openxmlformats.org/officeDocument/2006/relationships/hyperlink" Target="http://www.hoyporhoy.es/" TargetMode="External"/><Relationship Id="rId672" Type="http://schemas.openxmlformats.org/officeDocument/2006/relationships/hyperlink" Target="https://okdiario.com/investigacion/2016/01/13/tv-pablo-iglesias-recibido-93-millones-del-gobierno-iran-desde-paraisos-fiscales-52923" TargetMode="External"/><Relationship Id="rId1095" Type="http://schemas.openxmlformats.org/officeDocument/2006/relationships/hyperlink" Target="https://pbs.twimg.com/media/DsnKONMWoAABksF.jpg" TargetMode="External"/><Relationship Id="rId2146" Type="http://schemas.openxmlformats.org/officeDocument/2006/relationships/hyperlink" Target="http://undrconstruction.com/" TargetMode="External"/><Relationship Id="rId2353" Type="http://schemas.openxmlformats.org/officeDocument/2006/relationships/hyperlink" Target="https://www.youtube.com/user/josemaria478" TargetMode="External"/><Relationship Id="rId2560" Type="http://schemas.openxmlformats.org/officeDocument/2006/relationships/hyperlink" Target="https://www.elconfidencial.com/espana/cataluna/2017-08-27/junqueras-pablo-iglesias-cena-secreta-roures_1434397/" TargetMode="External"/><Relationship Id="rId2798" Type="http://schemas.openxmlformats.org/officeDocument/2006/relationships/hyperlink" Target="http://bit.ly/1Ko00ie" TargetMode="External"/><Relationship Id="rId118" Type="http://schemas.openxmlformats.org/officeDocument/2006/relationships/hyperlink" Target="http://vforvolume.com/" TargetMode="External"/><Relationship Id="rId325" Type="http://schemas.openxmlformats.org/officeDocument/2006/relationships/hyperlink" Target="http://www.lasexta.com/programas/al-rojo-vivo/" TargetMode="External"/><Relationship Id="rId532" Type="http://schemas.openxmlformats.org/officeDocument/2006/relationships/hyperlink" Target="http://trendinalia.com/twitter-trending-topics/spain/" TargetMode="External"/><Relationship Id="rId977" Type="http://schemas.openxmlformats.org/officeDocument/2006/relationships/hyperlink" Target="https://elpais.com/elpais/2018/11/21/opinion/1542806031_921444.html" TargetMode="External"/><Relationship Id="rId1162" Type="http://schemas.openxmlformats.org/officeDocument/2006/relationships/hyperlink" Target="https://ift.tt/2PMIAd1" TargetMode="External"/><Relationship Id="rId2006" Type="http://schemas.openxmlformats.org/officeDocument/2006/relationships/hyperlink" Target="http://pic.twitter.com/y67bUt0QUa" TargetMode="External"/><Relationship Id="rId2213" Type="http://schemas.openxmlformats.org/officeDocument/2006/relationships/hyperlink" Target="http://www.ikusle.com/abren-una-causa-para-beatificar-al-dictador-francisco-franco-fue-un-santo-indiscutible/" TargetMode="External"/><Relationship Id="rId2420" Type="http://schemas.openxmlformats.org/officeDocument/2006/relationships/hyperlink" Target="https://www.elmundo.es/andalucia/2018/11/21/5bf46ba046163f4da28b4607.html" TargetMode="External"/><Relationship Id="rId2658" Type="http://schemas.openxmlformats.org/officeDocument/2006/relationships/hyperlink" Target="http://www.periodistadigital.com/" TargetMode="External"/><Relationship Id="rId2865" Type="http://schemas.openxmlformats.org/officeDocument/2006/relationships/hyperlink" Target="http://www.europapress.es/" TargetMode="External"/><Relationship Id="rId837" Type="http://schemas.openxmlformats.org/officeDocument/2006/relationships/hyperlink" Target="http://pic.twitter.com/IzUM3vmLJt" TargetMode="External"/><Relationship Id="rId1022" Type="http://schemas.openxmlformats.org/officeDocument/2006/relationships/hyperlink" Target="https://elpais.com/elpais/2018/11/21/opinion/1542806031_921444.html?id_externo_rsoc=TW_CC" TargetMode="External"/><Relationship Id="rId1467" Type="http://schemas.openxmlformats.org/officeDocument/2006/relationships/hyperlink" Target="https://bit.ly/2BriO5r" TargetMode="External"/><Relationship Id="rId1674" Type="http://schemas.openxmlformats.org/officeDocument/2006/relationships/hyperlink" Target="https://elpais.com/elpais/2018/11/21/opinion/1542806031_921444.html" TargetMode="External"/><Relationship Id="rId1881" Type="http://schemas.openxmlformats.org/officeDocument/2006/relationships/hyperlink" Target="https://pbs.twimg.com/media/DshJpj6XQAAAkBh.jpg" TargetMode="External"/><Relationship Id="rId2518" Type="http://schemas.openxmlformats.org/officeDocument/2006/relationships/hyperlink" Target="https://twitter.com/_PaolaMacias_/status/1032855847788072960" TargetMode="External"/><Relationship Id="rId2725" Type="http://schemas.openxmlformats.org/officeDocument/2006/relationships/hyperlink" Target="http://www.periodistadigital.com/periodismo/tv/2018/11/20/pedro-sanchez-pablo-iglesias-presupuestos-elecciones-ferreras-gobierno.shtml" TargetMode="External"/><Relationship Id="rId2932" Type="http://schemas.openxmlformats.org/officeDocument/2006/relationships/hyperlink" Target="https://www.facebook.com/pages/Fans-de-Nata-Crespo/175113679168414?ref=stream" TargetMode="External"/><Relationship Id="rId904" Type="http://schemas.openxmlformats.org/officeDocument/2006/relationships/hyperlink" Target="https://www.larioja.com/la-rioja/sanchez-viajo-boda-20181106205854-nt.html" TargetMode="External"/><Relationship Id="rId1327" Type="http://schemas.openxmlformats.org/officeDocument/2006/relationships/hyperlink" Target="http://djtalmedia.com/en/fixer-barcelona/" TargetMode="External"/><Relationship Id="rId1534" Type="http://schemas.openxmlformats.org/officeDocument/2006/relationships/hyperlink" Target="https://www.elpais.com/elpais/2018/11/21/opinion/1542806031_921444.html" TargetMode="External"/><Relationship Id="rId1741" Type="http://schemas.openxmlformats.org/officeDocument/2006/relationships/hyperlink" Target="http://www.malagahoy.es/julian_molina/" TargetMode="External"/><Relationship Id="rId1979" Type="http://schemas.openxmlformats.org/officeDocument/2006/relationships/hyperlink" Target="https://www.youtube.com/channel/UCzxgc4H0oHpD_o05R7wmEAA" TargetMode="External"/><Relationship Id="rId33" Type="http://schemas.openxmlformats.org/officeDocument/2006/relationships/hyperlink" Target="https://www.slaymultimedios.com/pablo-iglesias-no-descarta-elecciones-generales-anticipadas-en-espana/" TargetMode="External"/><Relationship Id="rId1601" Type="http://schemas.openxmlformats.org/officeDocument/2006/relationships/hyperlink" Target="https://elpais.com/elpais/2018/11/21/opinion/1542806031_921444.html?id_externo_rsoc=FB_CC" TargetMode="External"/><Relationship Id="rId1839" Type="http://schemas.openxmlformats.org/officeDocument/2006/relationships/hyperlink" Target="https://goo.gl/TdQNc4?san44=820672946" TargetMode="External"/><Relationship Id="rId182" Type="http://schemas.openxmlformats.org/officeDocument/2006/relationships/hyperlink" Target="https://pbs.twimg.com/media/Dsm6x9AXoAAA9As.jpg" TargetMode="External"/><Relationship Id="rId1906" Type="http://schemas.openxmlformats.org/officeDocument/2006/relationships/hyperlink" Target="https://www.theguardian.com/world/ng-interactive/2018/nov/21/how-populist-are-you-quiz" TargetMode="External"/><Relationship Id="rId487" Type="http://schemas.openxmlformats.org/officeDocument/2006/relationships/hyperlink" Target="https://www.youtube.com/channel/UCMmDtv1DNZAlifK9acQYr4Q" TargetMode="External"/><Relationship Id="rId694" Type="http://schemas.openxmlformats.org/officeDocument/2006/relationships/hyperlink" Target="https://elcomunista.net/" TargetMode="External"/><Relationship Id="rId2070" Type="http://schemas.openxmlformats.org/officeDocument/2006/relationships/hyperlink" Target="http://www.luzdeuncandil.blogspot.com/" TargetMode="External"/><Relationship Id="rId2168" Type="http://schemas.openxmlformats.org/officeDocument/2006/relationships/hyperlink" Target="https://ift.tt/2TxAH9y" TargetMode="External"/><Relationship Id="rId2375" Type="http://schemas.openxmlformats.org/officeDocument/2006/relationships/hyperlink" Target="http://jukeboxpretencioso.wordpress.com/" TargetMode="External"/><Relationship Id="rId347" Type="http://schemas.openxmlformats.org/officeDocument/2006/relationships/hyperlink" Target="http://www.ugt.es/" TargetMode="External"/><Relationship Id="rId999" Type="http://schemas.openxmlformats.org/officeDocument/2006/relationships/hyperlink" Target="https://pbs.twimg.com/media/DslubFQXQAAofAn.jpg" TargetMode="External"/><Relationship Id="rId1184" Type="http://schemas.openxmlformats.org/officeDocument/2006/relationships/hyperlink" Target="https://www.periodistadigital.com/periodismo/prensa/2018/11/22/elpais-esconde-articulo-pablo-iglesias-para-masacrar-felipe-vi-hacerle-guino-golpistas.shtml" TargetMode="External"/><Relationship Id="rId2028" Type="http://schemas.openxmlformats.org/officeDocument/2006/relationships/hyperlink" Target="http://www.bitmomentum.com/" TargetMode="External"/><Relationship Id="rId2582" Type="http://schemas.openxmlformats.org/officeDocument/2006/relationships/hyperlink" Target="http://pic.twitter.com/7qi2oj0T93" TargetMode="External"/><Relationship Id="rId2887" Type="http://schemas.openxmlformats.org/officeDocument/2006/relationships/hyperlink" Target="http://www.catarata.org/" TargetMode="External"/><Relationship Id="rId554" Type="http://schemas.openxmlformats.org/officeDocument/2006/relationships/hyperlink" Target="https://www.theguardian.com/world/ng-interactive/2018/nov/21/how-populist-are-you-quiz" TargetMode="External"/><Relationship Id="rId761" Type="http://schemas.openxmlformats.org/officeDocument/2006/relationships/hyperlink" Target="https://pbs.twimg.com/media/DsndyGMWoAAyXXq.jpg" TargetMode="External"/><Relationship Id="rId859" Type="http://schemas.openxmlformats.org/officeDocument/2006/relationships/hyperlink" Target="http://bit.ly/2DTgMxd" TargetMode="External"/><Relationship Id="rId1391" Type="http://schemas.openxmlformats.org/officeDocument/2006/relationships/hyperlink" Target="https://elpais.com/elpais/2018/11/21/opinion/1542806031_921444.html" TargetMode="External"/><Relationship Id="rId1489" Type="http://schemas.openxmlformats.org/officeDocument/2006/relationships/hyperlink" Target="https://pbs.twimg.com/media/DsmGW5VXoAEnVH-.jpg" TargetMode="External"/><Relationship Id="rId1696" Type="http://schemas.openxmlformats.org/officeDocument/2006/relationships/hyperlink" Target="https://goo.gl/MQqk3u?men92=3645272252" TargetMode="External"/><Relationship Id="rId2235" Type="http://schemas.openxmlformats.org/officeDocument/2006/relationships/hyperlink" Target="https://www.elmundo.es/andalucia/2018/11/21/5bf46ba046163f4da28b4607.html" TargetMode="External"/><Relationship Id="rId2442" Type="http://schemas.openxmlformats.org/officeDocument/2006/relationships/hyperlink" Target="https://pbs.twimg.com/media/DsgRGGNXgAUN6IB.jpg" TargetMode="External"/><Relationship Id="rId207" Type="http://schemas.openxmlformats.org/officeDocument/2006/relationships/hyperlink" Target="https://varelavito.wordpress.com/" TargetMode="External"/><Relationship Id="rId414" Type="http://schemas.openxmlformats.org/officeDocument/2006/relationships/hyperlink" Target="https://pbs.twimg.com/media/DsrKLLUWkAA11a3.jpg" TargetMode="External"/><Relationship Id="rId621" Type="http://schemas.openxmlformats.org/officeDocument/2006/relationships/hyperlink" Target="https://twitter.com/FabianPicardo/status/1065741871622819840" TargetMode="External"/><Relationship Id="rId1044" Type="http://schemas.openxmlformats.org/officeDocument/2006/relationships/hyperlink" Target="http://instagram.com/izi_bermudez" TargetMode="External"/><Relationship Id="rId1251" Type="http://schemas.openxmlformats.org/officeDocument/2006/relationships/hyperlink" Target="https://pbs.twimg.com/media/DsmseW6XgAUDH0p.jpg" TargetMode="External"/><Relationship Id="rId1349" Type="http://schemas.openxmlformats.org/officeDocument/2006/relationships/hyperlink" Target="https://pbs.twimg.com/media/DsmawCtWkAAh8M8.jpg" TargetMode="External"/><Relationship Id="rId2302" Type="http://schemas.openxmlformats.org/officeDocument/2006/relationships/hyperlink" Target="http://facebook.com/luisenrique.jordantorrent" TargetMode="External"/><Relationship Id="rId2747" Type="http://schemas.openxmlformats.org/officeDocument/2006/relationships/hyperlink" Target="https://pbs.twimg.com/media/Dsdg0X0WkAQ_0FF.jpg" TargetMode="External"/><Relationship Id="rId2954" Type="http://schemas.openxmlformats.org/officeDocument/2006/relationships/hyperlink" Target="https://www.facebook.com/profile.php?id=100006184578326" TargetMode="External"/><Relationship Id="rId719" Type="http://schemas.openxmlformats.org/officeDocument/2006/relationships/hyperlink" Target="https://pbs.twimg.com/media/Dsnd2FnWoAIghW_.jpg" TargetMode="External"/><Relationship Id="rId926" Type="http://schemas.openxmlformats.org/officeDocument/2006/relationships/hyperlink" Target="https://casoaislado.com/abascal-vapulea-pablo-iglesias-la-monarquia-sirve-alguien-devorado-odio-no-alcance-la-jefatura-del-estado/" TargetMode="External"/><Relationship Id="rId1111" Type="http://schemas.openxmlformats.org/officeDocument/2006/relationships/hyperlink" Target="https://www.facebook.com/Cercle-PodemPodemos-Tarragona-Centre-874441889273908/" TargetMode="External"/><Relationship Id="rId1556" Type="http://schemas.openxmlformats.org/officeDocument/2006/relationships/hyperlink" Target="http://filosofialo.tumblr.com/" TargetMode="External"/><Relationship Id="rId1763" Type="http://schemas.openxmlformats.org/officeDocument/2006/relationships/hyperlink" Target="https://pbs.twimg.com/media/Dsk__-AWsAENIhq.jpg" TargetMode="External"/><Relationship Id="rId1970" Type="http://schemas.openxmlformats.org/officeDocument/2006/relationships/hyperlink" Target="http://pic.twitter.com/YELRN8Oz1V" TargetMode="External"/><Relationship Id="rId2607" Type="http://schemas.openxmlformats.org/officeDocument/2006/relationships/hyperlink" Target="http://dlvr.it/QrjNQG" TargetMode="External"/><Relationship Id="rId2814" Type="http://schemas.openxmlformats.org/officeDocument/2006/relationships/hyperlink" Target="https://www.elmundo.es/espana/2018/11/20/5bf407ae46163f14b08b460e.html" TargetMode="External"/><Relationship Id="rId55" Type="http://schemas.openxmlformats.org/officeDocument/2006/relationships/hyperlink" Target="http://cadenaser.com/programa/2018/11/22/hoy_por_hoy/1542900365_285470.html?ssm=tw" TargetMode="External"/><Relationship Id="rId1209" Type="http://schemas.openxmlformats.org/officeDocument/2006/relationships/hyperlink" Target="https://twitter.com/lameriluli/status/1065532108381347841" TargetMode="External"/><Relationship Id="rId1416" Type="http://schemas.openxmlformats.org/officeDocument/2006/relationships/hyperlink" Target="http://cristinaparapar.wordpress.com/" TargetMode="External"/><Relationship Id="rId1623" Type="http://schemas.openxmlformats.org/officeDocument/2006/relationships/hyperlink" Target="https://elpais.com/elpais/2018/11/21/opinion/1542806031_921444.html" TargetMode="External"/><Relationship Id="rId1830" Type="http://schemas.openxmlformats.org/officeDocument/2006/relationships/hyperlink" Target="http://www.costaricamedios.cr/" TargetMode="External"/><Relationship Id="rId1928" Type="http://schemas.openxmlformats.org/officeDocument/2006/relationships/hyperlink" Target="http://podemos.info/" TargetMode="External"/><Relationship Id="rId2092" Type="http://schemas.openxmlformats.org/officeDocument/2006/relationships/hyperlink" Target="http://youtu.be/nHodn42YiJw?a" TargetMode="External"/><Relationship Id="rId271" Type="http://schemas.openxmlformats.org/officeDocument/2006/relationships/hyperlink" Target="http://youtu.be/VG7m-J12CBI?a" TargetMode="External"/><Relationship Id="rId2397" Type="http://schemas.openxmlformats.org/officeDocument/2006/relationships/hyperlink" Target="https://www.elmundo.es/andalucia/2018/11/21/5bf46ba046163f4da28b4607.html" TargetMode="External"/><Relationship Id="rId131" Type="http://schemas.openxmlformats.org/officeDocument/2006/relationships/hyperlink" Target="https://puntodeemancipacion.com/2018/11/23/conversacion-con-pablo-iglesias/" TargetMode="External"/><Relationship Id="rId369" Type="http://schemas.openxmlformats.org/officeDocument/2006/relationships/hyperlink" Target="http://www.lextres.com/" TargetMode="External"/><Relationship Id="rId576" Type="http://schemas.openxmlformats.org/officeDocument/2006/relationships/hyperlink" Target="https://www.instagram.com/godomarto/" TargetMode="External"/><Relationship Id="rId783" Type="http://schemas.openxmlformats.org/officeDocument/2006/relationships/hyperlink" Target="https://elpais.com/elpais/2018/11/21/opinion/1542806031_921444.html?id_externo_rsoc=TW_CC" TargetMode="External"/><Relationship Id="rId990" Type="http://schemas.openxmlformats.org/officeDocument/2006/relationships/hyperlink" Target="https://pbs.twimg.com/media/DsnmM7FWkAAa_u_.jpg" TargetMode="External"/><Relationship Id="rId2257" Type="http://schemas.openxmlformats.org/officeDocument/2006/relationships/hyperlink" Target="http://www.elmundo.es/andalucia/2018/11/21/5bf46ba046163f4da28b4607.html" TargetMode="External"/><Relationship Id="rId2464" Type="http://schemas.openxmlformats.org/officeDocument/2006/relationships/hyperlink" Target="http://www.dlpespana.es/" TargetMode="External"/><Relationship Id="rId2671" Type="http://schemas.openxmlformats.org/officeDocument/2006/relationships/hyperlink" Target="https://youtu.be/kFH5l3IF8sk" TargetMode="External"/><Relationship Id="rId229" Type="http://schemas.openxmlformats.org/officeDocument/2006/relationships/hyperlink" Target="https://ift.tt/2FzZ975" TargetMode="External"/><Relationship Id="rId436" Type="http://schemas.openxmlformats.org/officeDocument/2006/relationships/hyperlink" Target="https://twitter.com/ahorapodemos/status/1065884853885906945" TargetMode="External"/><Relationship Id="rId643" Type="http://schemas.openxmlformats.org/officeDocument/2006/relationships/hyperlink" Target="http://www.cronicasbarbaras.blogs.com/" TargetMode="External"/><Relationship Id="rId1066" Type="http://schemas.openxmlformats.org/officeDocument/2006/relationships/hyperlink" Target="http://www.elpais.com/" TargetMode="External"/><Relationship Id="rId1273" Type="http://schemas.openxmlformats.org/officeDocument/2006/relationships/hyperlink" Target="https://elpais.com/elpais/2018/11/21/opinion/1542806031_921444.html" TargetMode="External"/><Relationship Id="rId1480" Type="http://schemas.openxmlformats.org/officeDocument/2006/relationships/hyperlink" Target="http://www.tecnitrad.com/" TargetMode="External"/><Relationship Id="rId2117" Type="http://schemas.openxmlformats.org/officeDocument/2006/relationships/hyperlink" Target="http://youtu.be/dJQamM0sPOk?a" TargetMode="External"/><Relationship Id="rId2324" Type="http://schemas.openxmlformats.org/officeDocument/2006/relationships/hyperlink" Target="https://pbs.twimg.com/media/DshD6_RX4AAPyPv.jpg" TargetMode="External"/><Relationship Id="rId2769" Type="http://schemas.openxmlformats.org/officeDocument/2006/relationships/hyperlink" Target="https://open.spotify.com/album/3FKanDYH2t4tTXehlH9k11" TargetMode="External"/><Relationship Id="rId2976" Type="http://schemas.openxmlformats.org/officeDocument/2006/relationships/hyperlink" Target="http://www.lasexta.com/programas/al-rojo-vivo/" TargetMode="External"/><Relationship Id="rId850" Type="http://schemas.openxmlformats.org/officeDocument/2006/relationships/hyperlink" Target="https://elpais.com/elpais/2018/11/21/opinion/1542806031_921444.html?id_externo_rsoc=TW_CC" TargetMode="External"/><Relationship Id="rId948" Type="http://schemas.openxmlformats.org/officeDocument/2006/relationships/hyperlink" Target="http://page.is/victoria-ross" TargetMode="External"/><Relationship Id="rId1133" Type="http://schemas.openxmlformats.org/officeDocument/2006/relationships/hyperlink" Target="https://elpais.com/elpais/2018/11/21/opinion/1542806031_921444.html?id_externo_rsoc=TW_CC" TargetMode="External"/><Relationship Id="rId1578" Type="http://schemas.openxmlformats.org/officeDocument/2006/relationships/hyperlink" Target="https://www.instagram.com/gloriaelizo/" TargetMode="External"/><Relationship Id="rId1785" Type="http://schemas.openxmlformats.org/officeDocument/2006/relationships/hyperlink" Target="https://www.periodistadigital.com/politica/partidos-politicos/2018/11/20/las-memeces-de-un-caradura-llamado-pablo-iglesias.shtml" TargetMode="External"/><Relationship Id="rId1992" Type="http://schemas.openxmlformats.org/officeDocument/2006/relationships/hyperlink" Target="https://twitter.com/jarama62/status/1065290235091783680" TargetMode="External"/><Relationship Id="rId2531" Type="http://schemas.openxmlformats.org/officeDocument/2006/relationships/hyperlink" Target="https://pbs.twimg.com/media/DsehdlyWwAATrvO.jpg" TargetMode="External"/><Relationship Id="rId2629" Type="http://schemas.openxmlformats.org/officeDocument/2006/relationships/hyperlink" Target="http://www.lasexta.com/programas/al-rojo-vivo/" TargetMode="External"/><Relationship Id="rId2836" Type="http://schemas.openxmlformats.org/officeDocument/2006/relationships/hyperlink" Target="https://www.lasexta.com/programas/al-rojo-vivo/entrevistas/pablo-iglesias-de-dignidad-nada-marchena-ha-negociado-con-el-pp-presidir-el-cgpj-video_201811205bf4053b0cf2c5d615617124.html" TargetMode="External"/><Relationship Id="rId77" Type="http://schemas.openxmlformats.org/officeDocument/2006/relationships/hyperlink" Target="http://cadenaser.com/programa/2018/11/22/hoy_por_hoy/1542900365_285470.html?ssm=tw" TargetMode="External"/><Relationship Id="rId503" Type="http://schemas.openxmlformats.org/officeDocument/2006/relationships/hyperlink" Target="https://www.eldiario.es/_31fba808" TargetMode="External"/><Relationship Id="rId710" Type="http://schemas.openxmlformats.org/officeDocument/2006/relationships/hyperlink" Target="https://elpais.com/elpais/2018/11/21/opinion/1542806031_921444.html?id_externo_rsoc=TW_CC" TargetMode="External"/><Relationship Id="rId808" Type="http://schemas.openxmlformats.org/officeDocument/2006/relationships/hyperlink" Target="https://elpais.com/elpais/2018/11/21/opinion/1542806031_921444.html" TargetMode="External"/><Relationship Id="rId1340" Type="http://schemas.openxmlformats.org/officeDocument/2006/relationships/hyperlink" Target="http://universodea.wordpress.com/" TargetMode="External"/><Relationship Id="rId1438" Type="http://schemas.openxmlformats.org/officeDocument/2006/relationships/hyperlink" Target="http://edurneportela.com/" TargetMode="External"/><Relationship Id="rId1645" Type="http://schemas.openxmlformats.org/officeDocument/2006/relationships/hyperlink" Target="https://elpais.com/elpais/2018/11/21/opinion/1542806031_921444.html" TargetMode="External"/><Relationship Id="rId1200" Type="http://schemas.openxmlformats.org/officeDocument/2006/relationships/hyperlink" Target="http://www.slaymultimedios.com/" TargetMode="External"/><Relationship Id="rId1852" Type="http://schemas.openxmlformats.org/officeDocument/2006/relationships/hyperlink" Target="https://pbs.twimg.com/media/Dsjql3PW0AAzxrO.jpg" TargetMode="External"/><Relationship Id="rId2903" Type="http://schemas.openxmlformats.org/officeDocument/2006/relationships/hyperlink" Target="https://pbs.twimg.com/media/Dsc2H2fXgAEIBV0.jpg" TargetMode="External"/><Relationship Id="rId1505" Type="http://schemas.openxmlformats.org/officeDocument/2006/relationships/hyperlink" Target="https://curiouscat.me/Laetitiamoon" TargetMode="External"/><Relationship Id="rId1712" Type="http://schemas.openxmlformats.org/officeDocument/2006/relationships/hyperlink" Target="https://twitter.com/trendinaliaES/timelines/1065487078991884288" TargetMode="External"/><Relationship Id="rId293" Type="http://schemas.openxmlformats.org/officeDocument/2006/relationships/hyperlink" Target="http://espacioabiertoblog.wordpress.com/" TargetMode="External"/><Relationship Id="rId2181" Type="http://schemas.openxmlformats.org/officeDocument/2006/relationships/hyperlink" Target="https://pbs.twimg.com/media/Dshp7RNWwAA09NQ.jpg" TargetMode="External"/><Relationship Id="rId153" Type="http://schemas.openxmlformats.org/officeDocument/2006/relationships/hyperlink" Target="https://elpais.com/elpais/2018/11/21/opinion/1542806031_921444.html?id_externo_rsoc=TW_CC" TargetMode="External"/><Relationship Id="rId360" Type="http://schemas.openxmlformats.org/officeDocument/2006/relationships/hyperlink" Target="https://twitter.com/Pablo_Iglesias_/status/1065615518521012224" TargetMode="External"/><Relationship Id="rId598" Type="http://schemas.openxmlformats.org/officeDocument/2006/relationships/hyperlink" Target="https://www.elmundo.es/internacional/2018/11/22/5bf59ab7e2704e802b8b47d7.html" TargetMode="External"/><Relationship Id="rId2041" Type="http://schemas.openxmlformats.org/officeDocument/2006/relationships/hyperlink" Target="https://www.elmundo.es/andalucia/2018/11/21/5bf46ba046163f4da28b4607.html" TargetMode="External"/><Relationship Id="rId2279" Type="http://schemas.openxmlformats.org/officeDocument/2006/relationships/hyperlink" Target="https://monomadrefeminista.wordpress.com/2018/11/20/__trashed/amp/" TargetMode="External"/><Relationship Id="rId2486" Type="http://schemas.openxmlformats.org/officeDocument/2006/relationships/hyperlink" Target="http://pic.twitter.com/PJoCYZkDCi" TargetMode="External"/><Relationship Id="rId2693" Type="http://schemas.openxmlformats.org/officeDocument/2006/relationships/hyperlink" Target="https://www.elmundo.es/espana/2018/11/20/5bf407ae46163f14b08b460e.html" TargetMode="External"/><Relationship Id="rId220" Type="http://schemas.openxmlformats.org/officeDocument/2006/relationships/hyperlink" Target="http://elotrokiosko.net/" TargetMode="External"/><Relationship Id="rId458" Type="http://schemas.openxmlformats.org/officeDocument/2006/relationships/hyperlink" Target="http://cadenaser.com/" TargetMode="External"/><Relationship Id="rId665" Type="http://schemas.openxmlformats.org/officeDocument/2006/relationships/hyperlink" Target="https://pbs.twimg.com/media/Dso3FJfU4AAip9T.jpg" TargetMode="External"/><Relationship Id="rId872" Type="http://schemas.openxmlformats.org/officeDocument/2006/relationships/hyperlink" Target="http://instagram.com/titanicarlos" TargetMode="External"/><Relationship Id="rId1088" Type="http://schemas.openxmlformats.org/officeDocument/2006/relationships/hyperlink" Target="https://twitter.com/jmangues/status/1065562887840780290" TargetMode="External"/><Relationship Id="rId1295" Type="http://schemas.openxmlformats.org/officeDocument/2006/relationships/hyperlink" Target="https://elpais.com/elpais/2018/11/21/opinion/1542806031_921444.html?id_externo_rsoc=TW_CC" TargetMode="External"/><Relationship Id="rId2139" Type="http://schemas.openxmlformats.org/officeDocument/2006/relationships/hyperlink" Target="https://lapaseata.net/" TargetMode="External"/><Relationship Id="rId2346" Type="http://schemas.openxmlformats.org/officeDocument/2006/relationships/hyperlink" Target="https://www.facebook.com/podemoscazorla/posts/954317781430810" TargetMode="External"/><Relationship Id="rId2553" Type="http://schemas.openxmlformats.org/officeDocument/2006/relationships/hyperlink" Target="https://pbs.twimg.com/media/DseWxvFX4AAy436.jpg" TargetMode="External"/><Relationship Id="rId2760" Type="http://schemas.openxmlformats.org/officeDocument/2006/relationships/hyperlink" Target="https://youtu.be/ixEpKFp5fKw" TargetMode="External"/><Relationship Id="rId318" Type="http://schemas.openxmlformats.org/officeDocument/2006/relationships/hyperlink" Target="http://percevalles.wordpress.com/" TargetMode="External"/><Relationship Id="rId525" Type="http://schemas.openxmlformats.org/officeDocument/2006/relationships/hyperlink" Target="https://pbs.twimg.com/media/Dsq6psNXcAAy7JF.jpg" TargetMode="External"/><Relationship Id="rId732" Type="http://schemas.openxmlformats.org/officeDocument/2006/relationships/hyperlink" Target="https://www.eldiario.es/_31fabe87" TargetMode="External"/><Relationship Id="rId1155" Type="http://schemas.openxmlformats.org/officeDocument/2006/relationships/hyperlink" Target="https://elpais.com/elpais/2018/11/21/opinion/1542806031_921444.html?id_externo_rsoc=TW_CC" TargetMode="External"/><Relationship Id="rId1362" Type="http://schemas.openxmlformats.org/officeDocument/2006/relationships/hyperlink" Target="http://www.eldiario.es/" TargetMode="External"/><Relationship Id="rId2206" Type="http://schemas.openxmlformats.org/officeDocument/2006/relationships/hyperlink" Target="https://youtu.be/kFH5l3IF8sk" TargetMode="External"/><Relationship Id="rId2413" Type="http://schemas.openxmlformats.org/officeDocument/2006/relationships/hyperlink" Target="https://amp.elmundo.es/espana/2018/11/20/5bf407ae46163f14b08b460e.html" TargetMode="External"/><Relationship Id="rId2620" Type="http://schemas.openxmlformats.org/officeDocument/2006/relationships/hyperlink" Target="http://www.avilared.com/" TargetMode="External"/><Relationship Id="rId2858" Type="http://schemas.openxmlformats.org/officeDocument/2006/relationships/hyperlink" Target="https://trib.al/rWdKwhb" TargetMode="External"/><Relationship Id="rId99" Type="http://schemas.openxmlformats.org/officeDocument/2006/relationships/hyperlink" Target="https://www.elindependiente.com/politica/2018/11/23/pablo-iglesias-defiende-gibraltar-los-trabajadores-no-patrioterismos-extranos/?utm_source=share_buttons&amp;utm_medium=twitter&amp;utm_campaign=social_share" TargetMode="External"/><Relationship Id="rId1015" Type="http://schemas.openxmlformats.org/officeDocument/2006/relationships/hyperlink" Target="http://sinapsis-aom.blogspot.com/" TargetMode="External"/><Relationship Id="rId1222" Type="http://schemas.openxmlformats.org/officeDocument/2006/relationships/hyperlink" Target="http://queunperiodico.blogspot.com/" TargetMode="External"/><Relationship Id="rId1667" Type="http://schemas.openxmlformats.org/officeDocument/2006/relationships/hyperlink" Target="https://elpais.com/elpais/2018/11/21/opinion/1542806031_921444.amp.html?__twitter_impression=true" TargetMode="External"/><Relationship Id="rId1874" Type="http://schemas.openxmlformats.org/officeDocument/2006/relationships/hyperlink" Target="http://www.bitmomentum.com/" TargetMode="External"/><Relationship Id="rId2718" Type="http://schemas.openxmlformats.org/officeDocument/2006/relationships/hyperlink" Target="https://goo.gl/LzGjhZ" TargetMode="External"/><Relationship Id="rId2925" Type="http://schemas.openxmlformats.org/officeDocument/2006/relationships/hyperlink" Target="https://pbs.twimg.com/media/DscwH9BXoAEsxKK.jpg" TargetMode="External"/><Relationship Id="rId1527" Type="http://schemas.openxmlformats.org/officeDocument/2006/relationships/hyperlink" Target="https://goo.gl/m3Tvck" TargetMode="External"/><Relationship Id="rId1734" Type="http://schemas.openxmlformats.org/officeDocument/2006/relationships/hyperlink" Target="https://elpais.com/elpais/2018/11/21/opinion/1542806031_921444.html" TargetMode="External"/><Relationship Id="rId1941" Type="http://schemas.openxmlformats.org/officeDocument/2006/relationships/hyperlink" Target="http://jagvaldezate.blogspot.com.es/" TargetMode="External"/><Relationship Id="rId26" Type="http://schemas.openxmlformats.org/officeDocument/2006/relationships/hyperlink" Target="https://www.ticketbell.com/musica/mitin-adelante-andalucia-en-sevilla" TargetMode="External"/><Relationship Id="rId175" Type="http://schemas.openxmlformats.org/officeDocument/2006/relationships/hyperlink" Target="http://pic.twitter.com/XNfpQu9oYb" TargetMode="External"/><Relationship Id="rId1801" Type="http://schemas.openxmlformats.org/officeDocument/2006/relationships/hyperlink" Target="https://pbs.twimg.com/media/DskH_IFWoAE18g1.jpg" TargetMode="External"/><Relationship Id="rId382" Type="http://schemas.openxmlformats.org/officeDocument/2006/relationships/hyperlink" Target="http://bit.ly/2PMOivn" TargetMode="External"/><Relationship Id="rId687" Type="http://schemas.openxmlformats.org/officeDocument/2006/relationships/hyperlink" Target="https://www.vavel.com/es/author/izquierdo" TargetMode="External"/><Relationship Id="rId2063" Type="http://schemas.openxmlformats.org/officeDocument/2006/relationships/hyperlink" Target="https://pbs.twimg.com/media/DsiOYPTW0AEhn7V.jpg" TargetMode="External"/><Relationship Id="rId2270" Type="http://schemas.openxmlformats.org/officeDocument/2006/relationships/hyperlink" Target="https://pbs.twimg.com/media/DshPTb4WsAEsA-3.jpg" TargetMode="External"/><Relationship Id="rId2368" Type="http://schemas.openxmlformats.org/officeDocument/2006/relationships/hyperlink" Target="https://pbs.twimg.com/media/Dsgy6BzWwAEDMC9.jpg" TargetMode="External"/><Relationship Id="rId242" Type="http://schemas.openxmlformats.org/officeDocument/2006/relationships/hyperlink" Target="http://t.me/ahoracantabria" TargetMode="External"/><Relationship Id="rId894" Type="http://schemas.openxmlformats.org/officeDocument/2006/relationships/hyperlink" Target="https://pbs.twimg.com/media/DsnxDIoXgAIJfGd.jpg" TargetMode="External"/><Relationship Id="rId1177" Type="http://schemas.openxmlformats.org/officeDocument/2006/relationships/hyperlink" Target="https://pbs.twimg.com/media/DslubFQXQAAofAn.jpg" TargetMode="External"/><Relationship Id="rId2130" Type="http://schemas.openxmlformats.org/officeDocument/2006/relationships/hyperlink" Target="http://www.derechoyestado.com/" TargetMode="External"/><Relationship Id="rId2575" Type="http://schemas.openxmlformats.org/officeDocument/2006/relationships/hyperlink" Target="http://pic.twitter.com/ee7D3q2jfK" TargetMode="External"/><Relationship Id="rId2782" Type="http://schemas.openxmlformats.org/officeDocument/2006/relationships/hyperlink" Target="http://pic.twitter.com/NBJvalpIfD" TargetMode="External"/><Relationship Id="rId102" Type="http://schemas.openxmlformats.org/officeDocument/2006/relationships/hyperlink" Target="https://okdiario-com.cdn.ampproject.org/v/s/okdiario.com/espana/2018/11/23/iglesias-califica-patriotismo-extrano-defender-soberania-gibraltar-3382790/amp?amp_js_v=a2&amp;amp_gsa=1" TargetMode="External"/><Relationship Id="rId547" Type="http://schemas.openxmlformats.org/officeDocument/2006/relationships/hyperlink" Target="https://elpais.com/elpais/2018/11/21/opinion/1542806031_921444.html?id_externo_rsoc=TW_CC" TargetMode="External"/><Relationship Id="rId754" Type="http://schemas.openxmlformats.org/officeDocument/2006/relationships/hyperlink" Target="https://www.es.amnesty.org/en-que-estamos/noticias/noticia/articulo/invisibilizadas-cuestionadas-desprotegidas-y-juzgadas-millones-de-mujeres-victimas-de-violencia" TargetMode="External"/><Relationship Id="rId961" Type="http://schemas.openxmlformats.org/officeDocument/2006/relationships/hyperlink" Target="https://www.youtube.com/channel/UC2OPRvShCwMeO__KHVyPl9w?sub_confirmation=1" TargetMode="External"/><Relationship Id="rId1384" Type="http://schemas.openxmlformats.org/officeDocument/2006/relationships/hyperlink" Target="https://elpais.com/elpais/2018/11/21/opinion/1542806031_921444.html?id_externo_rsoc=TW_CC" TargetMode="External"/><Relationship Id="rId1591" Type="http://schemas.openxmlformats.org/officeDocument/2006/relationships/hyperlink" Target="https://elpais.com/elpais/2018/11/21/opinion/1542806031_921444.html" TargetMode="External"/><Relationship Id="rId1689" Type="http://schemas.openxmlformats.org/officeDocument/2006/relationships/hyperlink" Target="http://bit.ly/2Q7OdSz" TargetMode="External"/><Relationship Id="rId2228" Type="http://schemas.openxmlformats.org/officeDocument/2006/relationships/hyperlink" Target="http://leonxrocks.tumblr.com/" TargetMode="External"/><Relationship Id="rId2435" Type="http://schemas.openxmlformats.org/officeDocument/2006/relationships/hyperlink" Target="http://www.radiosporting.es/" TargetMode="External"/><Relationship Id="rId2642" Type="http://schemas.openxmlformats.org/officeDocument/2006/relationships/hyperlink" Target="http://a.msn.com/01/es-es/BBPULxB?ocid=st" TargetMode="External"/><Relationship Id="rId90" Type="http://schemas.openxmlformats.org/officeDocument/2006/relationships/hyperlink" Target="https://pbs.twimg.com/media/DssIn2vXoAAEcJ_.jpg" TargetMode="External"/><Relationship Id="rId407" Type="http://schemas.openxmlformats.org/officeDocument/2006/relationships/hyperlink" Target="http://cadenaser.com/programa/2018/11/22/hoy_por_hoy/1542900365_285470.html" TargetMode="External"/><Relationship Id="rId614" Type="http://schemas.openxmlformats.org/officeDocument/2006/relationships/hyperlink" Target="http://www.grupoppmadrid.es/" TargetMode="External"/><Relationship Id="rId821" Type="http://schemas.openxmlformats.org/officeDocument/2006/relationships/hyperlink" Target="https://goo.gl/yQSCt7?hzr18=1375971948" TargetMode="External"/><Relationship Id="rId1037" Type="http://schemas.openxmlformats.org/officeDocument/2006/relationships/hyperlink" Target="http://pic.twitter.com/VgV2jFEZlk" TargetMode="External"/><Relationship Id="rId1244" Type="http://schemas.openxmlformats.org/officeDocument/2006/relationships/hyperlink" Target="https://twitter.com/MonarquiaEspana/status/1065533125919420416" TargetMode="External"/><Relationship Id="rId1451" Type="http://schemas.openxmlformats.org/officeDocument/2006/relationships/hyperlink" Target="http://errenteriagorria.blogspot.com/" TargetMode="External"/><Relationship Id="rId1896" Type="http://schemas.openxmlformats.org/officeDocument/2006/relationships/hyperlink" Target="https://pbs.twimg.com/media/DsjYgLiWkAEv3Ll.jpg" TargetMode="External"/><Relationship Id="rId2502" Type="http://schemas.openxmlformats.org/officeDocument/2006/relationships/hyperlink" Target="http://www.madressolterasporeleccion.org/" TargetMode="External"/><Relationship Id="rId2947" Type="http://schemas.openxmlformats.org/officeDocument/2006/relationships/hyperlink" Target="http://podemostoledo.info/" TargetMode="External"/><Relationship Id="rId919" Type="http://schemas.openxmlformats.org/officeDocument/2006/relationships/hyperlink" Target="https://www.eldiario.es/_31fba808" TargetMode="External"/><Relationship Id="rId1104" Type="http://schemas.openxmlformats.org/officeDocument/2006/relationships/hyperlink" Target="https://pbs.twimg.com/media/DsmMxg9XQAA-vcb.jpg" TargetMode="External"/><Relationship Id="rId1311" Type="http://schemas.openxmlformats.org/officeDocument/2006/relationships/hyperlink" Target="https://twitter.com/MonarquiaEspana/status/1065533125919420416" TargetMode="External"/><Relationship Id="rId1549" Type="http://schemas.openxmlformats.org/officeDocument/2006/relationships/hyperlink" Target="https://elpais.com/elpais/2018/11/21/opinion/1542806031_921444.html?id_externo_rsoc=TW_CC" TargetMode="External"/><Relationship Id="rId1756" Type="http://schemas.openxmlformats.org/officeDocument/2006/relationships/hyperlink" Target="http://www.xpd.mx/" TargetMode="External"/><Relationship Id="rId1963" Type="http://schemas.openxmlformats.org/officeDocument/2006/relationships/hyperlink" Target="https://pbs.twimg.com/media/DsjEAu3WoAEqZsY.jpg" TargetMode="External"/><Relationship Id="rId2807" Type="http://schemas.openxmlformats.org/officeDocument/2006/relationships/hyperlink" Target="http://www.madressolterasporeleccion.org/" TargetMode="External"/><Relationship Id="rId48" Type="http://schemas.openxmlformats.org/officeDocument/2006/relationships/hyperlink" Target="https://ift.tt/2r4c4nH" TargetMode="External"/><Relationship Id="rId1409" Type="http://schemas.openxmlformats.org/officeDocument/2006/relationships/hyperlink" Target="https://pbs.twimg.com/media/DsmSKhyX4AAzzXB.jpg" TargetMode="External"/><Relationship Id="rId1616" Type="http://schemas.openxmlformats.org/officeDocument/2006/relationships/hyperlink" Target="http://urbano24horas.com/" TargetMode="External"/><Relationship Id="rId1823" Type="http://schemas.openxmlformats.org/officeDocument/2006/relationships/hyperlink" Target="https://pbs.twimg.com/media/Dsj35dKW0AE41ui.jpg" TargetMode="External"/><Relationship Id="rId197" Type="http://schemas.openxmlformats.org/officeDocument/2006/relationships/hyperlink" Target="http://serraniadepalabras.blogspot.com/" TargetMode="External"/><Relationship Id="rId2085" Type="http://schemas.openxmlformats.org/officeDocument/2006/relationships/hyperlink" Target="https://twitter.com/TorresAren/status/1065232572089802752" TargetMode="External"/><Relationship Id="rId2292" Type="http://schemas.openxmlformats.org/officeDocument/2006/relationships/hyperlink" Target="http://poletika.org/" TargetMode="External"/><Relationship Id="rId264" Type="http://schemas.openxmlformats.org/officeDocument/2006/relationships/hyperlink" Target="http://www.pressdigital.es/" TargetMode="External"/><Relationship Id="rId471" Type="http://schemas.openxmlformats.org/officeDocument/2006/relationships/hyperlink" Target="https://pbs.twimg.com/media/DsrF8Q7VsAEUrIK.jpg" TargetMode="External"/><Relationship Id="rId2152" Type="http://schemas.openxmlformats.org/officeDocument/2006/relationships/hyperlink" Target="http://page.is/francisco-flores" TargetMode="External"/><Relationship Id="rId2597" Type="http://schemas.openxmlformats.org/officeDocument/2006/relationships/hyperlink" Target="https://youtu.be/kTgJyrzgbao" TargetMode="External"/><Relationship Id="rId124" Type="http://schemas.openxmlformats.org/officeDocument/2006/relationships/hyperlink" Target="http://ow.ly/cLVO30mJ1id" TargetMode="External"/><Relationship Id="rId569" Type="http://schemas.openxmlformats.org/officeDocument/2006/relationships/hyperlink" Target="https://flagelodelocorrecto.wordpress.com/" TargetMode="External"/><Relationship Id="rId776" Type="http://schemas.openxmlformats.org/officeDocument/2006/relationships/hyperlink" Target="https://twitter.com/CNTBurgos/status/1065688384209895424" TargetMode="External"/><Relationship Id="rId983" Type="http://schemas.openxmlformats.org/officeDocument/2006/relationships/hyperlink" Target="http://bit.ly/2R1VbWh" TargetMode="External"/><Relationship Id="rId1199" Type="http://schemas.openxmlformats.org/officeDocument/2006/relationships/hyperlink" Target="http://bit.ly/2Fz6zaQ" TargetMode="External"/><Relationship Id="rId2457" Type="http://schemas.openxmlformats.org/officeDocument/2006/relationships/hyperlink" Target="https://pbs.twimg.com/media/Dsf7tsuWoAA5eaC.jpg" TargetMode="External"/><Relationship Id="rId2664" Type="http://schemas.openxmlformats.org/officeDocument/2006/relationships/hyperlink" Target="https://www.elimparcial.es/noticia/195838/nacional/pablo-iglesias-pasa-al-ataque:-el-adelanto-electoral-es-muy-probable.html" TargetMode="External"/><Relationship Id="rId331" Type="http://schemas.openxmlformats.org/officeDocument/2006/relationships/hyperlink" Target="http://www.lapoliticaporotrosmedios.es/" TargetMode="External"/><Relationship Id="rId429" Type="http://schemas.openxmlformats.org/officeDocument/2006/relationships/hyperlink" Target="http://www.futbolaragones.com/web/ben-pref-ebro-actur-pablo-iglesias-4-2/?utm_campaign=shareaholic&amp;utm_medium=twitter&amp;utm_source=socialnetwork" TargetMode="External"/><Relationship Id="rId636" Type="http://schemas.openxmlformats.org/officeDocument/2006/relationships/hyperlink" Target="https://elpais.com/elpais/2018/11/21/opinion/1542806031_921444.html?id_externo_rsoc=TW_CC" TargetMode="External"/><Relationship Id="rId1059" Type="http://schemas.openxmlformats.org/officeDocument/2006/relationships/hyperlink" Target="https://bit.ly/2Dw4mu2" TargetMode="External"/><Relationship Id="rId1266" Type="http://schemas.openxmlformats.org/officeDocument/2006/relationships/hyperlink" Target="https://elpais.com/elpais/2018/11/21/opinion/1542806031_921444.html?id_externo_rsoc=TW_CC" TargetMode="External"/><Relationship Id="rId1473" Type="http://schemas.openxmlformats.org/officeDocument/2006/relationships/hyperlink" Target="http://explorandoelfuturo.blogspot.com.es/" TargetMode="External"/><Relationship Id="rId2012" Type="http://schemas.openxmlformats.org/officeDocument/2006/relationships/hyperlink" Target="https://lavidaeningles.wordpress.com/" TargetMode="External"/><Relationship Id="rId2317" Type="http://schemas.openxmlformats.org/officeDocument/2006/relationships/hyperlink" Target="http://youtube.com/channel/UC75avTcGp5N6KViynLF1W8Q" TargetMode="External"/><Relationship Id="rId2871" Type="http://schemas.openxmlformats.org/officeDocument/2006/relationships/hyperlink" Target="http://www.lasexta.com/noticias/" TargetMode="External"/><Relationship Id="rId2969" Type="http://schemas.openxmlformats.org/officeDocument/2006/relationships/hyperlink" Target="http://podemos.info/" TargetMode="External"/><Relationship Id="rId843" Type="http://schemas.openxmlformats.org/officeDocument/2006/relationships/hyperlink" Target="http://www.cambio16.com/" TargetMode="External"/><Relationship Id="rId1126" Type="http://schemas.openxmlformats.org/officeDocument/2006/relationships/hyperlink" Target="https://okdiario.com/espana/2017/06/12/pp-obligara-iglesias-explicar-senado-cuenta-272-000-paraiso-fiscal-1068194" TargetMode="External"/><Relationship Id="rId1680" Type="http://schemas.openxmlformats.org/officeDocument/2006/relationships/hyperlink" Target="http://alcantarillasocial.com/author/protestona1" TargetMode="External"/><Relationship Id="rId1778" Type="http://schemas.openxmlformats.org/officeDocument/2006/relationships/hyperlink" Target="https://www.vozpopuli.com/_47124dc2" TargetMode="External"/><Relationship Id="rId1985" Type="http://schemas.openxmlformats.org/officeDocument/2006/relationships/hyperlink" Target="http://paper.li/Famelica_legion/1339749984" TargetMode="External"/><Relationship Id="rId2524" Type="http://schemas.openxmlformats.org/officeDocument/2006/relationships/hyperlink" Target="https://pbs.twimg.com/media/DsekoN_WkAAIQqN.jpg" TargetMode="External"/><Relationship Id="rId2731" Type="http://schemas.openxmlformats.org/officeDocument/2006/relationships/hyperlink" Target="https://contrainformacion.es/pablo-iglesias-seria-sensato-hacer-elecciones/" TargetMode="External"/><Relationship Id="rId2829" Type="http://schemas.openxmlformats.org/officeDocument/2006/relationships/hyperlink" Target="https://www.youtube.com/channel/UCCx9Dm5y3XklFmIq4thw_SQ" TargetMode="External"/><Relationship Id="rId703" Type="http://schemas.openxmlformats.org/officeDocument/2006/relationships/hyperlink" Target="https://m.eldiario.es/_31fba808" TargetMode="External"/><Relationship Id="rId910" Type="http://schemas.openxmlformats.org/officeDocument/2006/relationships/hyperlink" Target="https://elpais.com/elpais/2018/11/21/opinion/1542806031_921444.html" TargetMode="External"/><Relationship Id="rId1333" Type="http://schemas.openxmlformats.org/officeDocument/2006/relationships/hyperlink" Target="https://elpais.com/elpais/2018/11/21/opinion/1542806031_921444.html?id_externo_rsoc=TW_CC" TargetMode="External"/><Relationship Id="rId1540" Type="http://schemas.openxmlformats.org/officeDocument/2006/relationships/hyperlink" Target="https://elpais.com/elpais/2018/11/21/opinion/1542806031_921444.html?id_externo_rsoc=TW_CC" TargetMode="External"/><Relationship Id="rId1638" Type="http://schemas.openxmlformats.org/officeDocument/2006/relationships/hyperlink" Target="https://elpais.com/elpais/2018/11/21/opinion/1542806031_921444.html?id_externo_rsoc=TW_CC" TargetMode="External"/><Relationship Id="rId1400" Type="http://schemas.openxmlformats.org/officeDocument/2006/relationships/hyperlink" Target="https://elpais.com/elpais/2018/11/21/opinion/1542806031_921444.html" TargetMode="External"/><Relationship Id="rId1845" Type="http://schemas.openxmlformats.org/officeDocument/2006/relationships/hyperlink" Target="https://pbs.twimg.com/media/DsjvTbYWsAE69lw.jpg" TargetMode="External"/><Relationship Id="rId1705" Type="http://schemas.openxmlformats.org/officeDocument/2006/relationships/hyperlink" Target="https://elpais.com/elpais/2018/11/21/opinion/1542806031_921444.html" TargetMode="External"/><Relationship Id="rId1912" Type="http://schemas.openxmlformats.org/officeDocument/2006/relationships/hyperlink" Target="https://www.youtube.com/channel/UCpcphptVzC6oVxcf8-ilBUg" TargetMode="External"/><Relationship Id="rId286" Type="http://schemas.openxmlformats.org/officeDocument/2006/relationships/hyperlink" Target="https://okdiario.com/espana/2018/11/23/iglesias-califica-patriotismo-extrano-defender-soberania-gibraltar-3382790" TargetMode="External"/><Relationship Id="rId493" Type="http://schemas.openxmlformats.org/officeDocument/2006/relationships/hyperlink" Target="http://cadenaser.com/programa/2018/11/22/hoy_por_hoy/1542900365_285470.html" TargetMode="External"/><Relationship Id="rId2174" Type="http://schemas.openxmlformats.org/officeDocument/2006/relationships/hyperlink" Target="https://pbs.twimg.com/media/DshaSzhWsAAuqs1.jpg" TargetMode="External"/><Relationship Id="rId2381" Type="http://schemas.openxmlformats.org/officeDocument/2006/relationships/hyperlink" Target="https://okdiario.com/espana/2017/06/12/pp-obligara-iglesias-explicar-senado-cuenta-272-000-paraiso-fiscal-1068194" TargetMode="External"/><Relationship Id="rId146" Type="http://schemas.openxmlformats.org/officeDocument/2006/relationships/hyperlink" Target="https://okdiario.com/espana/2018/11/23/iglesias-califica-patriotismo-extrano-defender-soberania-gibraltar-3382790" TargetMode="External"/><Relationship Id="rId353" Type="http://schemas.openxmlformats.org/officeDocument/2006/relationships/hyperlink" Target="https://www.servimedia.es/noticias/1094334" TargetMode="External"/><Relationship Id="rId560" Type="http://schemas.openxmlformats.org/officeDocument/2006/relationships/hyperlink" Target="http://arturorojillo.blogspot.com.es/" TargetMode="External"/><Relationship Id="rId798" Type="http://schemas.openxmlformats.org/officeDocument/2006/relationships/hyperlink" Target="http://www.bitmomentum.com/" TargetMode="External"/><Relationship Id="rId1190" Type="http://schemas.openxmlformats.org/officeDocument/2006/relationships/hyperlink" Target="https://pbs.twimg.com/media/DslubFQXQAAofAn.jpg" TargetMode="External"/><Relationship Id="rId2034" Type="http://schemas.openxmlformats.org/officeDocument/2006/relationships/hyperlink" Target="https://www.lasexta.com/programas/al-rojo-vivo/entrevistas/pablo-iglesias-el-gobierno-se-habria-podido-currar-mas-que-salgan-los-pge-no-podemos-hacerlo-todo-video_201811205bf4093f0cf2abe03a75241e.html" TargetMode="External"/><Relationship Id="rId2241" Type="http://schemas.openxmlformats.org/officeDocument/2006/relationships/hyperlink" Target="https://pbs.twimg.com/media/DshThzdWsAEMnz_.jpg" TargetMode="External"/><Relationship Id="rId2479" Type="http://schemas.openxmlformats.org/officeDocument/2006/relationships/hyperlink" Target="https://pbs.twimg.com/media/Dse8NbfU8AATAIY.jpg" TargetMode="External"/><Relationship Id="rId2686" Type="http://schemas.openxmlformats.org/officeDocument/2006/relationships/hyperlink" Target="https://pbs.twimg.com/media/DsdtdscWwAArGjD.jpg" TargetMode="External"/><Relationship Id="rId2893" Type="http://schemas.openxmlformats.org/officeDocument/2006/relationships/hyperlink" Target="https://www.elmundo.es/espana/2018/11/20/5bf407ae46163f14b08b460e.html" TargetMode="External"/><Relationship Id="rId213" Type="http://schemas.openxmlformats.org/officeDocument/2006/relationships/hyperlink" Target="https://okdiario.com/espana/2018/11/23/iglesias-califica-patriotismo-extrano-defender-soberania-gibraltar-3382790" TargetMode="External"/><Relationship Id="rId420" Type="http://schemas.openxmlformats.org/officeDocument/2006/relationships/hyperlink" Target="https://www.periodistadigital.com/ocio-y-cultura/cine-y-teatro/2018/11/23/pepe-mujica-ex-presidnete-de-uruguay-pablo-iglesias-se-equivoco-no-tiene-vuelta.shtml" TargetMode="External"/><Relationship Id="rId658" Type="http://schemas.openxmlformats.org/officeDocument/2006/relationships/hyperlink" Target="https://twitter.com/hypatiascorner/status/1065729289449062400" TargetMode="External"/><Relationship Id="rId865" Type="http://schemas.openxmlformats.org/officeDocument/2006/relationships/hyperlink" Target="https://elpais.com/elpais/2018/11/21/opinion/1542806031_921444.html" TargetMode="External"/><Relationship Id="rId1050" Type="http://schemas.openxmlformats.org/officeDocument/2006/relationships/hyperlink" Target="https://pbs.twimg.com/media/DsnJCcpXcAAdF3S.jpg" TargetMode="External"/><Relationship Id="rId1288" Type="http://schemas.openxmlformats.org/officeDocument/2006/relationships/hyperlink" Target="https://elpais.com/elpais/2018/11/21/opinion/1542806031_921444.html" TargetMode="External"/><Relationship Id="rId1495" Type="http://schemas.openxmlformats.org/officeDocument/2006/relationships/hyperlink" Target="https://pbs.twimg.com/media/DsmHLmrXoAEb5Mr.jpg" TargetMode="External"/><Relationship Id="rId1509" Type="http://schemas.openxmlformats.org/officeDocument/2006/relationships/hyperlink" Target="https://instagram.com/dinabousselham" TargetMode="External"/><Relationship Id="rId1716" Type="http://schemas.openxmlformats.org/officeDocument/2006/relationships/hyperlink" Target="https://elpais.com/elpais/2018/11/21/opinion/1542806031_921444.html?id_externo_rsoc=TW_CC" TargetMode="External"/><Relationship Id="rId1923" Type="http://schemas.openxmlformats.org/officeDocument/2006/relationships/hyperlink" Target="https://elpais.com/elpais/2018/11/16/opinion/1542382409_239207.html" TargetMode="External"/><Relationship Id="rId2101" Type="http://schemas.openxmlformats.org/officeDocument/2006/relationships/hyperlink" Target="http://abogadosmedellin.mobi/manrique-medellin-abogados" TargetMode="External"/><Relationship Id="rId2339" Type="http://schemas.openxmlformats.org/officeDocument/2006/relationships/hyperlink" Target="https://twitter.com/i/status/1065161033898180611" TargetMode="External"/><Relationship Id="rId2546" Type="http://schemas.openxmlformats.org/officeDocument/2006/relationships/hyperlink" Target="https://bit.ly/2Dw4mu2" TargetMode="External"/><Relationship Id="rId2753" Type="http://schemas.openxmlformats.org/officeDocument/2006/relationships/hyperlink" Target="http://www.jugadoresdefortuna.com/" TargetMode="External"/><Relationship Id="rId2960" Type="http://schemas.openxmlformats.org/officeDocument/2006/relationships/hyperlink" Target="https://twitter.com/AsociacionMSPE/status/1064843300983599104" TargetMode="External"/><Relationship Id="rId297" Type="http://schemas.openxmlformats.org/officeDocument/2006/relationships/hyperlink" Target="http://blogdetiempo.blogspot.com/" TargetMode="External"/><Relationship Id="rId518" Type="http://schemas.openxmlformats.org/officeDocument/2006/relationships/hyperlink" Target="https://www.flickr.com/photos/vpg_ct/" TargetMode="External"/><Relationship Id="rId725" Type="http://schemas.openxmlformats.org/officeDocument/2006/relationships/hyperlink" Target="https://twitter.com/Yo_Soy_Asin/status/1065487260865445890" TargetMode="External"/><Relationship Id="rId932" Type="http://schemas.openxmlformats.org/officeDocument/2006/relationships/hyperlink" Target="https://casoaislado.com/abascal-vapulea-pablo-iglesias-la-monarquia-sirve-alguien-devorado-odio-no-alcance-la-jefatura-del-estado/" TargetMode="External"/><Relationship Id="rId1148" Type="http://schemas.openxmlformats.org/officeDocument/2006/relationships/hyperlink" Target="https://pbs.twimg.com/media/DslubFQXQAAofAn.jpg" TargetMode="External"/><Relationship Id="rId1355" Type="http://schemas.openxmlformats.org/officeDocument/2006/relationships/hyperlink" Target="https://elpais.com/elpais/2018/11/21/opinion/1542806031_921444.html" TargetMode="External"/><Relationship Id="rId1562" Type="http://schemas.openxmlformats.org/officeDocument/2006/relationships/hyperlink" Target="http://www.marcaespana.es/" TargetMode="External"/><Relationship Id="rId2185" Type="http://schemas.openxmlformats.org/officeDocument/2006/relationships/hyperlink" Target="http://redeptsp.com.br/paulomariante/" TargetMode="External"/><Relationship Id="rId2392" Type="http://schemas.openxmlformats.org/officeDocument/2006/relationships/hyperlink" Target="https://wp.me/p8a6rH-cnb" TargetMode="External"/><Relationship Id="rId2406" Type="http://schemas.openxmlformats.org/officeDocument/2006/relationships/hyperlink" Target="https://www.elmundo.es/andalucia/2018/11/21/5bf46ba046163f4da28b4607.html" TargetMode="External"/><Relationship Id="rId2613" Type="http://schemas.openxmlformats.org/officeDocument/2006/relationships/hyperlink" Target="https://twitter.com/ehbilducongreso/status/1064913057690894336" TargetMode="External"/><Relationship Id="rId157" Type="http://schemas.openxmlformats.org/officeDocument/2006/relationships/hyperlink" Target="https://radiosporting.es/datos-y-estadisticas/" TargetMode="External"/><Relationship Id="rId364" Type="http://schemas.openxmlformats.org/officeDocument/2006/relationships/hyperlink" Target="http://www.masby.net/" TargetMode="External"/><Relationship Id="rId1008" Type="http://schemas.openxmlformats.org/officeDocument/2006/relationships/hyperlink" Target="https://www.facebook.com/PolticaRnR/" TargetMode="External"/><Relationship Id="rId1215" Type="http://schemas.openxmlformats.org/officeDocument/2006/relationships/hyperlink" Target="https://goo.gl/Xos4oc?yrn47=1565013329" TargetMode="External"/><Relationship Id="rId1422" Type="http://schemas.openxmlformats.org/officeDocument/2006/relationships/hyperlink" Target="http://www.marcaespana.es/" TargetMode="External"/><Relationship Id="rId1867" Type="http://schemas.openxmlformats.org/officeDocument/2006/relationships/hyperlink" Target="https://twitter.com/pablo_iglesias_/status/1052468256416718848" TargetMode="External"/><Relationship Id="rId2045" Type="http://schemas.openxmlformats.org/officeDocument/2006/relationships/hyperlink" Target="https://www.facebook.com/francisco.gagonieto.9/posts/2232442963455470" TargetMode="External"/><Relationship Id="rId2697" Type="http://schemas.openxmlformats.org/officeDocument/2006/relationships/hyperlink" Target="https://pbs.twimg.com/media/DsdpvFtWkAIh-b4.jpg" TargetMode="External"/><Relationship Id="rId2820" Type="http://schemas.openxmlformats.org/officeDocument/2006/relationships/hyperlink" Target="https://www.europapress.es/nacional/noticia-pablo-iglesias-ve-probable-haya-elecciones-muy-pronto-20181120152538.html" TargetMode="External"/><Relationship Id="rId2918" Type="http://schemas.openxmlformats.org/officeDocument/2006/relationships/hyperlink" Target="http://www.lasexta.com/programas/al-rojo-vivo/" TargetMode="External"/><Relationship Id="rId61" Type="http://schemas.openxmlformats.org/officeDocument/2006/relationships/hyperlink" Target="http://podemos.info/" TargetMode="External"/><Relationship Id="rId571" Type="http://schemas.openxmlformats.org/officeDocument/2006/relationships/hyperlink" Target="https://elpais.com/elpais/2018/11/21/opinion/1542806031_921444.html?id_externo_rsoc=TW_CC" TargetMode="External"/><Relationship Id="rId669" Type="http://schemas.openxmlformats.org/officeDocument/2006/relationships/hyperlink" Target="https://twitter.com/Pablo_Iglesias_/status/1065652376126803969" TargetMode="External"/><Relationship Id="rId876" Type="http://schemas.openxmlformats.org/officeDocument/2006/relationships/hyperlink" Target="https://pbs.twimg.com/media/Dsno7GxW0AAp7G7.jpg" TargetMode="External"/><Relationship Id="rId1299" Type="http://schemas.openxmlformats.org/officeDocument/2006/relationships/hyperlink" Target="https://youtu.be/OnNbm-tr-vE" TargetMode="External"/><Relationship Id="rId1727" Type="http://schemas.openxmlformats.org/officeDocument/2006/relationships/hyperlink" Target="http://instagram.com/carlossmato/" TargetMode="External"/><Relationship Id="rId1934" Type="http://schemas.openxmlformats.org/officeDocument/2006/relationships/hyperlink" Target="https://pbs.twimg.com/media/DsjMjXxW0AAeyV-.jpg" TargetMode="External"/><Relationship Id="rId2252" Type="http://schemas.openxmlformats.org/officeDocument/2006/relationships/hyperlink" Target="https://www.facebook.com/francisco.gagonieto.9/posts/2232069243492842" TargetMode="External"/><Relationship Id="rId2557" Type="http://schemas.openxmlformats.org/officeDocument/2006/relationships/hyperlink" Target="http://pic.twitter.com/zFfVBaKyYM" TargetMode="External"/><Relationship Id="rId19" Type="http://schemas.openxmlformats.org/officeDocument/2006/relationships/hyperlink" Target="https://sptnkne.ws/kdDt" TargetMode="External"/><Relationship Id="rId224" Type="http://schemas.openxmlformats.org/officeDocument/2006/relationships/hyperlink" Target="https://twitter.com/RACATOL/status/1065719892945584128" TargetMode="External"/><Relationship Id="rId431" Type="http://schemas.openxmlformats.org/officeDocument/2006/relationships/hyperlink" Target="https://elpais.com/elpais/2018/11/21/opinion/1542806031_921444.html?id_externo_rsoc=TW_CC" TargetMode="External"/><Relationship Id="rId529" Type="http://schemas.openxmlformats.org/officeDocument/2006/relationships/hyperlink" Target="https://goo.gl/q7WpKf" TargetMode="External"/><Relationship Id="rId736" Type="http://schemas.openxmlformats.org/officeDocument/2006/relationships/hyperlink" Target="http://cort.as/-CL87" TargetMode="External"/><Relationship Id="rId1061" Type="http://schemas.openxmlformats.org/officeDocument/2006/relationships/hyperlink" Target="https://elpais.com/elpais/2018/11/21/opinion/1542806031_921444.html?id_externo_rsoc=TW_CC" TargetMode="External"/><Relationship Id="rId1159" Type="http://schemas.openxmlformats.org/officeDocument/2006/relationships/hyperlink" Target="http://www.podemosvilaseca.tk/" TargetMode="External"/><Relationship Id="rId1366" Type="http://schemas.openxmlformats.org/officeDocument/2006/relationships/hyperlink" Target="https://unespa&#241;opolypara.es/" TargetMode="External"/><Relationship Id="rId2112" Type="http://schemas.openxmlformats.org/officeDocument/2006/relationships/hyperlink" Target="http://insurgente.org/" TargetMode="External"/><Relationship Id="rId2196" Type="http://schemas.openxmlformats.org/officeDocument/2006/relationships/hyperlink" Target="https://www.larazon.es/economia/la-ce-advierte-que-el-presupuesto-espanol-incumple-las-normas-KG20623801" TargetMode="External"/><Relationship Id="rId2417" Type="http://schemas.openxmlformats.org/officeDocument/2006/relationships/hyperlink" Target="https://www.facebook.com/427923557251120/posts/2082465218463604/" TargetMode="External"/><Relationship Id="rId2764" Type="http://schemas.openxmlformats.org/officeDocument/2006/relationships/hyperlink" Target="https://pbs.twimg.com/media/DsdcRDRXgAM9r69.jpg" TargetMode="External"/><Relationship Id="rId2971" Type="http://schemas.openxmlformats.org/officeDocument/2006/relationships/hyperlink" Target="http://atres.red/4ncii5669" TargetMode="External"/><Relationship Id="rId168" Type="http://schemas.openxmlformats.org/officeDocument/2006/relationships/hyperlink" Target="http://ver.abc.es/sjtoz1" TargetMode="External"/><Relationship Id="rId943" Type="http://schemas.openxmlformats.org/officeDocument/2006/relationships/hyperlink" Target="https://www.youtube.com/c/ElPeriodistaCamorrista" TargetMode="External"/><Relationship Id="rId1019" Type="http://schemas.openxmlformats.org/officeDocument/2006/relationships/hyperlink" Target="http://pic.twitter.com/QkPEl6xrvQ" TargetMode="External"/><Relationship Id="rId1573" Type="http://schemas.openxmlformats.org/officeDocument/2006/relationships/hyperlink" Target="https://elpais.com/elpais/2018/11/21/opinion/1542806031_921444.html" TargetMode="External"/><Relationship Id="rId1780" Type="http://schemas.openxmlformats.org/officeDocument/2006/relationships/hyperlink" Target="http://elclubdelosviernes.org/" TargetMode="External"/><Relationship Id="rId1878" Type="http://schemas.openxmlformats.org/officeDocument/2006/relationships/hyperlink" Target="http://page.is/anton" TargetMode="External"/><Relationship Id="rId2624" Type="http://schemas.openxmlformats.org/officeDocument/2006/relationships/hyperlink" Target="http://chicasreales.uk/" TargetMode="External"/><Relationship Id="rId2831" Type="http://schemas.openxmlformats.org/officeDocument/2006/relationships/hyperlink" Target="http://pic.twitter.com/YwDRLRB7TN" TargetMode="External"/><Relationship Id="rId2929" Type="http://schemas.openxmlformats.org/officeDocument/2006/relationships/hyperlink" Target="https://www.elmundo.es/espana/2018/11/20/5bf407ae46163f14b08b460e.html" TargetMode="External"/><Relationship Id="rId72" Type="http://schemas.openxmlformats.org/officeDocument/2006/relationships/hyperlink" Target="https://www.republica.com/2018/11/23/pablo-iglesias-asegura-que-no-apoyara-a-sanchez-para-patrioterismos-extranos-con-gibraltar/" TargetMode="External"/><Relationship Id="rId375" Type="http://schemas.openxmlformats.org/officeDocument/2006/relationships/hyperlink" Target="https://www.elconfidencial.com/espana/madrid/2018-11-22/carmena-crisis-podemos-candidatura-mas-madrid-plataforma_1663166/" TargetMode="External"/><Relationship Id="rId582" Type="http://schemas.openxmlformats.org/officeDocument/2006/relationships/hyperlink" Target="https://m.eldiario.es/_31fba808" TargetMode="External"/><Relationship Id="rId803" Type="http://schemas.openxmlformats.org/officeDocument/2006/relationships/hyperlink" Target="https://www.periodistadigital.com/periodismo/prensa/2018/11/22/elpais-esconde-articulo-pablo-iglesias-para-masacrar-felipe-vi-hacerle-guino-golpistas.shtml" TargetMode="External"/><Relationship Id="rId1226" Type="http://schemas.openxmlformats.org/officeDocument/2006/relationships/hyperlink" Target="https://www.facebook.com/Podemos-Melilla-306116759552321/?ref=hl" TargetMode="External"/><Relationship Id="rId1433" Type="http://schemas.openxmlformats.org/officeDocument/2006/relationships/hyperlink" Target="https://pbs.twimg.com/media/DsmPGdYWkAAUraM.jpg" TargetMode="External"/><Relationship Id="rId1640" Type="http://schemas.openxmlformats.org/officeDocument/2006/relationships/hyperlink" Target="http://www.archeyes.com/" TargetMode="External"/><Relationship Id="rId1738" Type="http://schemas.openxmlformats.org/officeDocument/2006/relationships/hyperlink" Target="https://pbs.twimg.com/media/DsLZILIW0AAKPeM.jpg" TargetMode="External"/><Relationship Id="rId2056" Type="http://schemas.openxmlformats.org/officeDocument/2006/relationships/hyperlink" Target="http://www.bitmomentum.com/" TargetMode="External"/><Relationship Id="rId2263" Type="http://schemas.openxmlformats.org/officeDocument/2006/relationships/hyperlink" Target="http://www.advan-40.es/" TargetMode="External"/><Relationship Id="rId2470" Type="http://schemas.openxmlformats.org/officeDocument/2006/relationships/hyperlink" Target="https://www.elconfidencial.com/espana/2018-11-18/desencanto-podemos-circulos-pablo-iglesias-carmena_1653050/" TargetMode="External"/><Relationship Id="rId3" Type="http://schemas.openxmlformats.org/officeDocument/2006/relationships/hyperlink" Target="https://twitter.com/i/broadcasts/1nAKEyNyMnaKL" TargetMode="External"/><Relationship Id="rId235" Type="http://schemas.openxmlformats.org/officeDocument/2006/relationships/hyperlink" Target="https://www.eldiario.es/_31fba808" TargetMode="External"/><Relationship Id="rId442" Type="http://schemas.openxmlformats.org/officeDocument/2006/relationships/hyperlink" Target="https://pbs.twimg.com/media/DsrK0LLWsAA7z4R.jpg" TargetMode="External"/><Relationship Id="rId887" Type="http://schemas.openxmlformats.org/officeDocument/2006/relationships/hyperlink" Target="https://pbs.twimg.com/media/DsnduAMX4AAesdI.jpg" TargetMode="External"/><Relationship Id="rId1072" Type="http://schemas.openxmlformats.org/officeDocument/2006/relationships/hyperlink" Target="https://twitter.com/ahorapodemos/status/1063101154777800705" TargetMode="External"/><Relationship Id="rId1500" Type="http://schemas.openxmlformats.org/officeDocument/2006/relationships/hyperlink" Target="http://navarra.podemos.info/" TargetMode="External"/><Relationship Id="rId1945" Type="http://schemas.openxmlformats.org/officeDocument/2006/relationships/hyperlink" Target="http://andywarrol.tumblr.com/" TargetMode="External"/><Relationship Id="rId2123" Type="http://schemas.openxmlformats.org/officeDocument/2006/relationships/hyperlink" Target="https://www.elmundo.es/economia/macroeconomia/2018/11/21/5bf542fa46163f8e9e8b4669.html" TargetMode="External"/><Relationship Id="rId2330" Type="http://schemas.openxmlformats.org/officeDocument/2006/relationships/hyperlink" Target="http://sancarlosborromeo.org/" TargetMode="External"/><Relationship Id="rId2568" Type="http://schemas.openxmlformats.org/officeDocument/2006/relationships/hyperlink" Target="http://pic.twitter.com/7Y05p3lfmd" TargetMode="External"/><Relationship Id="rId2775" Type="http://schemas.openxmlformats.org/officeDocument/2006/relationships/hyperlink" Target="https://youtu.be/m66j1JQzVT0" TargetMode="External"/><Relationship Id="rId2982" Type="http://schemas.openxmlformats.org/officeDocument/2006/relationships/hyperlink" Target="https://www.reddit.com/r/podemos/comments/9yqc5w/pablo_iglesiasla_memoria_hist%C3%B3rica_es_la_gasolina/?st=JOPQ2K9B&amp;sh=585bfd6a" TargetMode="External"/><Relationship Id="rId302" Type="http://schemas.openxmlformats.org/officeDocument/2006/relationships/hyperlink" Target="http://errenteriagorria.blogspot.com/" TargetMode="External"/><Relationship Id="rId747" Type="http://schemas.openxmlformats.org/officeDocument/2006/relationships/hyperlink" Target="https://pbs.twimg.com/media/DsocRUgWoAY_kWK.jpg" TargetMode="External"/><Relationship Id="rId954" Type="http://schemas.openxmlformats.org/officeDocument/2006/relationships/hyperlink" Target="http://www.publico.es/" TargetMode="External"/><Relationship Id="rId1377" Type="http://schemas.openxmlformats.org/officeDocument/2006/relationships/hyperlink" Target="https://www.libertaddigital.com/espana/2018-11-22/iglesias-utiliza-el-pais-para-atacar-a-la-monarquia-una-nueva-republica-sera-la-mejor-garantia-para-una-espana-unida-1276628644/" TargetMode="External"/><Relationship Id="rId1584" Type="http://schemas.openxmlformats.org/officeDocument/2006/relationships/hyperlink" Target="https://johnmuller.wordpress.com/author/cultrun/" TargetMode="External"/><Relationship Id="rId1791" Type="http://schemas.openxmlformats.org/officeDocument/2006/relationships/hyperlink" Target="http://www.facebook.com/mironyruiz" TargetMode="External"/><Relationship Id="rId1805" Type="http://schemas.openxmlformats.org/officeDocument/2006/relationships/hyperlink" Target="https://youtu.be/CFGLITa5jME" TargetMode="External"/><Relationship Id="rId2428" Type="http://schemas.openxmlformats.org/officeDocument/2006/relationships/hyperlink" Target="https://www.elmundo.es/andalucia/2018/11/21/5bf46ba046163f4da28b4607.html" TargetMode="External"/><Relationship Id="rId2635" Type="http://schemas.openxmlformats.org/officeDocument/2006/relationships/hyperlink" Target="http://www.periodistadigital.com/" TargetMode="External"/><Relationship Id="rId2842" Type="http://schemas.openxmlformats.org/officeDocument/2006/relationships/hyperlink" Target="http://disq.us/t/2mz157t" TargetMode="External"/><Relationship Id="rId83" Type="http://schemas.openxmlformats.org/officeDocument/2006/relationships/hyperlink" Target="https://www.alertanacional.es/" TargetMode="External"/><Relationship Id="rId179" Type="http://schemas.openxmlformats.org/officeDocument/2006/relationships/hyperlink" Target="https://okdiario-com.cdn.ampproject.org/v/s/okdiario.com/espana/2018/11/23/iglesias-califica-patriotismo-extrano-defender-soberania-gibraltar-3382790/amp?amp_js_v=a2&amp;amp_gsa=1&amp;usqp=mq331AQHCABYAYABAQ%3D%3D" TargetMode="External"/><Relationship Id="rId386" Type="http://schemas.openxmlformats.org/officeDocument/2006/relationships/hyperlink" Target="https://pbs.twimg.com/media/DsnV_BOWkAEjB9a.jpg" TargetMode="External"/><Relationship Id="rId593" Type="http://schemas.openxmlformats.org/officeDocument/2006/relationships/hyperlink" Target="https://pbs.twimg.com/media/DshBKm7X4AAP7hZ.jpg" TargetMode="External"/><Relationship Id="rId607" Type="http://schemas.openxmlformats.org/officeDocument/2006/relationships/hyperlink" Target="http://isofyr.org/" TargetMode="External"/><Relationship Id="rId814" Type="http://schemas.openxmlformats.org/officeDocument/2006/relationships/hyperlink" Target="http://www.sotodelrealpodemos.es/" TargetMode="External"/><Relationship Id="rId1237" Type="http://schemas.openxmlformats.org/officeDocument/2006/relationships/hyperlink" Target="http://www.reginoabogados.com/" TargetMode="External"/><Relationship Id="rId1444" Type="http://schemas.openxmlformats.org/officeDocument/2006/relationships/hyperlink" Target="http://gaab75.blogspot.com/" TargetMode="External"/><Relationship Id="rId1651" Type="http://schemas.openxmlformats.org/officeDocument/2006/relationships/hyperlink" Target="https://pbs.twimg.com/media/DslzH3NWoAAQp6c.jpg" TargetMode="External"/><Relationship Id="rId1889" Type="http://schemas.openxmlformats.org/officeDocument/2006/relationships/hyperlink" Target="http://www.instagram.com/rickyesteves" TargetMode="External"/><Relationship Id="rId2067" Type="http://schemas.openxmlformats.org/officeDocument/2006/relationships/hyperlink" Target="http://dlvr.it/Qrmmf7" TargetMode="External"/><Relationship Id="rId2274" Type="http://schemas.openxmlformats.org/officeDocument/2006/relationships/hyperlink" Target="https://bit.ly/2PYjPtE" TargetMode="External"/><Relationship Id="rId2481" Type="http://schemas.openxmlformats.org/officeDocument/2006/relationships/hyperlink" Target="https://twitter.com/hermanntertsch/status/1065017342999044096" TargetMode="External"/><Relationship Id="rId2702" Type="http://schemas.openxmlformats.org/officeDocument/2006/relationships/hyperlink" Target="https://pbs.twimg.com/media/DsdnxbeXgAAyhv1.jpg" TargetMode="External"/><Relationship Id="rId246" Type="http://schemas.openxmlformats.org/officeDocument/2006/relationships/hyperlink" Target="https://okdiario.com/espana/2018/11/23/iglesias-califica-patriotismo-extrano-defender-soberania-gibraltar-3382790" TargetMode="External"/><Relationship Id="rId453" Type="http://schemas.openxmlformats.org/officeDocument/2006/relationships/hyperlink" Target="http://www.enfoquenoticias.com.mx/" TargetMode="External"/><Relationship Id="rId660" Type="http://schemas.openxmlformats.org/officeDocument/2006/relationships/hyperlink" Target="https://elpais.com/elpais/2018/11/21/opinion/1542806031_921444.html?id_externo_rsoc=TW_CC" TargetMode="External"/><Relationship Id="rId898" Type="http://schemas.openxmlformats.org/officeDocument/2006/relationships/hyperlink" Target="http://pic.twitter.com/0OyyLmL2SV" TargetMode="External"/><Relationship Id="rId1083" Type="http://schemas.openxmlformats.org/officeDocument/2006/relationships/hyperlink" Target="http://jpdefrutos.wordpress.com/" TargetMode="External"/><Relationship Id="rId1290" Type="http://schemas.openxmlformats.org/officeDocument/2006/relationships/hyperlink" Target="https://m.eldiario.es/_31fba808" TargetMode="External"/><Relationship Id="rId1304" Type="http://schemas.openxmlformats.org/officeDocument/2006/relationships/hyperlink" Target="http://www.rionegro.com.ar/" TargetMode="External"/><Relationship Id="rId1511" Type="http://schemas.openxmlformats.org/officeDocument/2006/relationships/hyperlink" Target="http://www.deportados.es/" TargetMode="External"/><Relationship Id="rId1749" Type="http://schemas.openxmlformats.org/officeDocument/2006/relationships/hyperlink" Target="https://www.cuartopoder.es/espana/2018/11/22/si-cae-la-monarquia-cae-el-sistema-politico-del-78-la-utilidad-de-la-corona-a-debate/" TargetMode="External"/><Relationship Id="rId1956" Type="http://schemas.openxmlformats.org/officeDocument/2006/relationships/hyperlink" Target="https://pbs.twimg.com/media/DsjHGQ2U0AIx9VE.jpg" TargetMode="External"/><Relationship Id="rId2134" Type="http://schemas.openxmlformats.org/officeDocument/2006/relationships/hyperlink" Target="https://okdiario.com/espana/2017/06/12/pp-obligara-iglesias-explicar-senado-cuenta-272-000-paraiso-fiscal-1068194" TargetMode="External"/><Relationship Id="rId2341" Type="http://schemas.openxmlformats.org/officeDocument/2006/relationships/hyperlink" Target="https://goo.gl/ai5Xzt?odh87=230897347" TargetMode="External"/><Relationship Id="rId2579" Type="http://schemas.openxmlformats.org/officeDocument/2006/relationships/hyperlink" Target="http://pic.twitter.com/5W7zI7kkUv" TargetMode="External"/><Relationship Id="rId2786" Type="http://schemas.openxmlformats.org/officeDocument/2006/relationships/hyperlink" Target="https://eldebatedehoy.es/" TargetMode="External"/><Relationship Id="rId106" Type="http://schemas.openxmlformats.org/officeDocument/2006/relationships/hyperlink" Target="http://www.castillalamancha.es/gobierno/vicepresidenciasegunda/titular" TargetMode="External"/><Relationship Id="rId313" Type="http://schemas.openxmlformats.org/officeDocument/2006/relationships/hyperlink" Target="http://atres.red/4ncii5728" TargetMode="External"/><Relationship Id="rId758" Type="http://schemas.openxmlformats.org/officeDocument/2006/relationships/hyperlink" Target="https://youtu.be/UJezTmUinNo" TargetMode="External"/><Relationship Id="rId965" Type="http://schemas.openxmlformats.org/officeDocument/2006/relationships/hyperlink" Target="https://elpais.com/elpais/2018/11/21/opinion/1542806031_921444.html?id_externo_rsoc=TW_CC" TargetMode="External"/><Relationship Id="rId1150" Type="http://schemas.openxmlformats.org/officeDocument/2006/relationships/hyperlink" Target="http://a.msn.com/01/es-es/BBPXUfV?ocid=st" TargetMode="External"/><Relationship Id="rId1388" Type="http://schemas.openxmlformats.org/officeDocument/2006/relationships/hyperlink" Target="https://twitter.com/anioramas/status/1065538913715068928" TargetMode="External"/><Relationship Id="rId1595" Type="http://schemas.openxmlformats.org/officeDocument/2006/relationships/hyperlink" Target="https://elpais.com/elpais/2018/11/21/opinion/1542806031_921444.html" TargetMode="External"/><Relationship Id="rId1609" Type="http://schemas.openxmlformats.org/officeDocument/2006/relationships/hyperlink" Target="https://pbs.twimg.com/media/Dsl58yYX4AA0aAg.jpg" TargetMode="External"/><Relationship Id="rId1816" Type="http://schemas.openxmlformats.org/officeDocument/2006/relationships/hyperlink" Target="https://www.esdiario.com/863352693/Un-audio-robado-hunde-a-Pablo-Iglesias-cocteles-molotov-contra-la-Guardia-Civil.html" TargetMode="External"/><Relationship Id="rId2439" Type="http://schemas.openxmlformats.org/officeDocument/2006/relationships/hyperlink" Target="https://okdiario.com/espana/2017/06/12/pp-obligara-iglesias-explicar-senado-cuenta-272-000-paraiso-fiscal-1068194" TargetMode="External"/><Relationship Id="rId2646" Type="http://schemas.openxmlformats.org/officeDocument/2006/relationships/hyperlink" Target="https://twitter.com/iunida/status/1064946476596391936" TargetMode="External"/><Relationship Id="rId2853" Type="http://schemas.openxmlformats.org/officeDocument/2006/relationships/hyperlink" Target="https://www.youtube.com/channel/UC6rp8Kb63-eLWN8rvE4U30A" TargetMode="External"/><Relationship Id="rId10" Type="http://schemas.openxmlformats.org/officeDocument/2006/relationships/hyperlink" Target="http://www.larazon.es/" TargetMode="External"/><Relationship Id="rId94" Type="http://schemas.openxmlformats.org/officeDocument/2006/relationships/hyperlink" Target="https://pbs.twimg.com/media/DssIn2vXoAAEcJ_.jpg" TargetMode="External"/><Relationship Id="rId397" Type="http://schemas.openxmlformats.org/officeDocument/2006/relationships/hyperlink" Target="http://bit.ly/2BqMgZ8" TargetMode="External"/><Relationship Id="rId520" Type="http://schemas.openxmlformats.org/officeDocument/2006/relationships/hyperlink" Target="http://www.periodistadigital.com/" TargetMode="External"/><Relationship Id="rId618" Type="http://schemas.openxmlformats.org/officeDocument/2006/relationships/hyperlink" Target="http://laschicasnoestanbien.wordpress.com/" TargetMode="External"/><Relationship Id="rId825" Type="http://schemas.openxmlformats.org/officeDocument/2006/relationships/hyperlink" Target="http://pic.twitter.com/LkvVsZCrNW" TargetMode="External"/><Relationship Id="rId1248" Type="http://schemas.openxmlformats.org/officeDocument/2006/relationships/hyperlink" Target="https://pbs.twimg.com/media/DsmsyrFWkAEzwg8.jpg" TargetMode="External"/><Relationship Id="rId1455" Type="http://schemas.openxmlformats.org/officeDocument/2006/relationships/hyperlink" Target="https://elpais.com/elpais/2018/11/21/opinion/1542806031_921444.html" TargetMode="External"/><Relationship Id="rId1662" Type="http://schemas.openxmlformats.org/officeDocument/2006/relationships/hyperlink" Target="https://elpais.com/elpais/2018/11/21/opinion/1542806031_921444.html?id_externo_rsoc=TW_CC" TargetMode="External"/><Relationship Id="rId2078" Type="http://schemas.openxmlformats.org/officeDocument/2006/relationships/hyperlink" Target="https://pbs.twimg.com/media/DsiL61XXgAA4D9V.jpg" TargetMode="External"/><Relationship Id="rId2201" Type="http://schemas.openxmlformats.org/officeDocument/2006/relationships/hyperlink" Target="https://jjnegri.wixsite.com/jnegri" TargetMode="External"/><Relationship Id="rId2285" Type="http://schemas.openxmlformats.org/officeDocument/2006/relationships/hyperlink" Target="http://www.juspax-es.org/" TargetMode="External"/><Relationship Id="rId2492" Type="http://schemas.openxmlformats.org/officeDocument/2006/relationships/hyperlink" Target="https://pbs.twimg.com/media/Dse1w2LXoAA72LE.jpg" TargetMode="External"/><Relationship Id="rId2506" Type="http://schemas.openxmlformats.org/officeDocument/2006/relationships/hyperlink" Target="http://vicentaparici.blogspot.com/" TargetMode="External"/><Relationship Id="rId257" Type="http://schemas.openxmlformats.org/officeDocument/2006/relationships/hyperlink" Target="https://pbs.twimg.com/media/DsrmlvBXcAA9AOz.jpg" TargetMode="External"/><Relationship Id="rId464" Type="http://schemas.openxmlformats.org/officeDocument/2006/relationships/hyperlink" Target="https://pbs.twimg.com/media/DsrHCZMVAAAuZtH.jpg" TargetMode="External"/><Relationship Id="rId1010" Type="http://schemas.openxmlformats.org/officeDocument/2006/relationships/hyperlink" Target="http://joserbala.tumblr.com/" TargetMode="External"/><Relationship Id="rId1094" Type="http://schemas.openxmlformats.org/officeDocument/2006/relationships/hyperlink" Target="https://www.huffingtonpost.es/2018/11/19/criminales-el-consternado-tuit-de-pablo-iglesias-por-una-caceria-en-la-que-doce-perros-y-un-venado-caen-por-un-barranco_a_23593178/" TargetMode="External"/><Relationship Id="rId1108" Type="http://schemas.openxmlformats.org/officeDocument/2006/relationships/hyperlink" Target="https://instagram.com/arte_arquitectura_museos?utm_source=ig_profile_share&amp;igshid=1cg4p6qkbuct7" TargetMode="External"/><Relationship Id="rId1315" Type="http://schemas.openxmlformats.org/officeDocument/2006/relationships/hyperlink" Target="https://elpais.com/elpais/2018/11/21/opinion/1542806031_921444.html" TargetMode="External"/><Relationship Id="rId1967" Type="http://schemas.openxmlformats.org/officeDocument/2006/relationships/hyperlink" Target="http://www.losvirusoficial.es/" TargetMode="External"/><Relationship Id="rId2145" Type="http://schemas.openxmlformats.org/officeDocument/2006/relationships/hyperlink" Target="http://ciberiaen.wordpress.com/" TargetMode="External"/><Relationship Id="rId2713" Type="http://schemas.openxmlformats.org/officeDocument/2006/relationships/hyperlink" Target="http://pic.twitter.com/YFhlNH1bwC" TargetMode="External"/><Relationship Id="rId2797" Type="http://schemas.openxmlformats.org/officeDocument/2006/relationships/hyperlink" Target="https://www.elmundo.es/espana/2018/11/20/5bf407ae46163f14b08b460e.html" TargetMode="External"/><Relationship Id="rId2920" Type="http://schemas.openxmlformats.org/officeDocument/2006/relationships/hyperlink" Target="https://www.instagram.com/p/BqZ2V7eHV1b/?utm_source=ig_twitter_share&amp;igshid=1gvg8ndygi2n4" TargetMode="External"/><Relationship Id="rId117" Type="http://schemas.openxmlformats.org/officeDocument/2006/relationships/hyperlink" Target="https://www.youtube.com/watch?v=0jD79xlT91Q" TargetMode="External"/><Relationship Id="rId671" Type="http://schemas.openxmlformats.org/officeDocument/2006/relationships/hyperlink" Target="https://casoaislado.com/abascal-vapulea-pablo-iglesias-la-monarquia-sirve-alguien-devorado-odio-no-alcance-la-jefatura-del-estado/" TargetMode="External"/><Relationship Id="rId769" Type="http://schemas.openxmlformats.org/officeDocument/2006/relationships/hyperlink" Target="https://pbs.twimg.com/media/Dsnj5ODXoAEq12l.jpg" TargetMode="External"/><Relationship Id="rId976" Type="http://schemas.openxmlformats.org/officeDocument/2006/relationships/hyperlink" Target="https://pbs.twimg.com/media/DsnV_BOWkAEjB9a.jpg" TargetMode="External"/><Relationship Id="rId1399" Type="http://schemas.openxmlformats.org/officeDocument/2006/relationships/hyperlink" Target="https://elpais.com/elpais/2018/11/21/opinion/1542806031_921444.html" TargetMode="External"/><Relationship Id="rId2352" Type="http://schemas.openxmlformats.org/officeDocument/2006/relationships/hyperlink" Target="https://www.youtube.com/watch?v=EU06dP7rkRY" TargetMode="External"/><Relationship Id="rId2657" Type="http://schemas.openxmlformats.org/officeDocument/2006/relationships/hyperlink" Target="https://www.periodistadigital.com/periodismo/tv/2018/11/20/pedro-sanchez-pablo-iglesias-presupuestos-elecciones-ferreras-gobierno.shtml" TargetMode="External"/><Relationship Id="rId324" Type="http://schemas.openxmlformats.org/officeDocument/2006/relationships/hyperlink" Target="https://pbs.twimg.com/media/DsrftmcWwAAtL1P.jpg" TargetMode="External"/><Relationship Id="rId531" Type="http://schemas.openxmlformats.org/officeDocument/2006/relationships/hyperlink" Target="https://twitter.com/trendinaliaES/timelines/1065849541994340352" TargetMode="External"/><Relationship Id="rId629" Type="http://schemas.openxmlformats.org/officeDocument/2006/relationships/hyperlink" Target="http://www.trecetv.es/programas/el-cascabel" TargetMode="External"/><Relationship Id="rId1161" Type="http://schemas.openxmlformats.org/officeDocument/2006/relationships/hyperlink" Target="https://pbs.twimg.com/media/Dsm6Rg6X4AIO3NP.jpg" TargetMode="External"/><Relationship Id="rId1259" Type="http://schemas.openxmlformats.org/officeDocument/2006/relationships/hyperlink" Target="https://goo.gl/maps/sbwPpZUwCSK2" TargetMode="External"/><Relationship Id="rId1466" Type="http://schemas.openxmlformats.org/officeDocument/2006/relationships/hyperlink" Target="https://eivissa.podemos.info/" TargetMode="External"/><Relationship Id="rId2005" Type="http://schemas.openxmlformats.org/officeDocument/2006/relationships/hyperlink" Target="https://twitter.com/bonypertinezh/status/1065201931499577352" TargetMode="External"/><Relationship Id="rId2212" Type="http://schemas.openxmlformats.org/officeDocument/2006/relationships/hyperlink" Target="http://alcantarillasocial.com/author/protestona1" TargetMode="External"/><Relationship Id="rId2864" Type="http://schemas.openxmlformats.org/officeDocument/2006/relationships/hyperlink" Target="https://www.europapress.es/nacional/noticia-pablo-iglesias-ve-probable-haya-elecciones-muy-pronto-20181120152538.html" TargetMode="External"/><Relationship Id="rId836" Type="http://schemas.openxmlformats.org/officeDocument/2006/relationships/hyperlink" Target="https://twitter.com/michelpesquera/status/1065241714980519936" TargetMode="External"/><Relationship Id="rId1021" Type="http://schemas.openxmlformats.org/officeDocument/2006/relationships/hyperlink" Target="http://www.podemoscastilleja.com/" TargetMode="External"/><Relationship Id="rId1119" Type="http://schemas.openxmlformats.org/officeDocument/2006/relationships/hyperlink" Target="http://twitch.tv/miisogi" TargetMode="External"/><Relationship Id="rId1673" Type="http://schemas.openxmlformats.org/officeDocument/2006/relationships/hyperlink" Target="http://www.sofiacastanon.es/" TargetMode="External"/><Relationship Id="rId1880" Type="http://schemas.openxmlformats.org/officeDocument/2006/relationships/hyperlink" Target="https://twitter.com/Pablo_Iglesias_/status/1065182868538822656" TargetMode="External"/><Relationship Id="rId1978" Type="http://schemas.openxmlformats.org/officeDocument/2006/relationships/hyperlink" Target="http://pic.twitter.com/k25NdxEoQp" TargetMode="External"/><Relationship Id="rId2517" Type="http://schemas.openxmlformats.org/officeDocument/2006/relationships/hyperlink" Target="https://www.elmundo.es/espana/2018/11/20/5bf407ae46163f14b08b460e.html" TargetMode="External"/><Relationship Id="rId2724" Type="http://schemas.openxmlformats.org/officeDocument/2006/relationships/hyperlink" Target="https://pbs.twimg.com/media/DsdjyTPXcAEi4yK.jpg" TargetMode="External"/><Relationship Id="rId2931" Type="http://schemas.openxmlformats.org/officeDocument/2006/relationships/hyperlink" Target="https://blogs.elconfidencial.com/espana/caza-mayor/2018-11-19/pablo-iglesias-amortizado_1653682/?utm_source=twitter&amp;utm_medium=social&amp;utm_campaign=BotoneraWeb" TargetMode="External"/><Relationship Id="rId903" Type="http://schemas.openxmlformats.org/officeDocument/2006/relationships/hyperlink" Target="http://avilabacaicoa.blogspot.com/" TargetMode="External"/><Relationship Id="rId1326" Type="http://schemas.openxmlformats.org/officeDocument/2006/relationships/hyperlink" Target="https://pbs.twimg.com/media/DsmdIwXXcAAT_I_.jpg" TargetMode="External"/><Relationship Id="rId1533" Type="http://schemas.openxmlformats.org/officeDocument/2006/relationships/hyperlink" Target="http://www.boye-elbal.com/" TargetMode="External"/><Relationship Id="rId1740" Type="http://schemas.openxmlformats.org/officeDocument/2006/relationships/hyperlink" Target="https://pbs.twimg.com/media/Dslimq-WkAAHcLy.jpg" TargetMode="External"/><Relationship Id="rId32" Type="http://schemas.openxmlformats.org/officeDocument/2006/relationships/hyperlink" Target="http://curiouscat.me/erlik" TargetMode="External"/><Relationship Id="rId1600" Type="http://schemas.openxmlformats.org/officeDocument/2006/relationships/hyperlink" Target="http://pic.twitter.com/xOPS5eS3Fw" TargetMode="External"/><Relationship Id="rId1838" Type="http://schemas.openxmlformats.org/officeDocument/2006/relationships/hyperlink" Target="https://scholar.google.es/citations?hl=es&amp;user=fbDr4-cAAAAJ" TargetMode="External"/><Relationship Id="rId181" Type="http://schemas.openxmlformats.org/officeDocument/2006/relationships/hyperlink" Target="https://twitter.com/MJLandaburu/status/1065588673511600138" TargetMode="External"/><Relationship Id="rId1905" Type="http://schemas.openxmlformats.org/officeDocument/2006/relationships/hyperlink" Target="http://www.cambio16.com/" TargetMode="External"/><Relationship Id="rId279" Type="http://schemas.openxmlformats.org/officeDocument/2006/relationships/hyperlink" Target="https://twitter.com/huyelobo/status/1065909102210154496" TargetMode="External"/><Relationship Id="rId486" Type="http://schemas.openxmlformats.org/officeDocument/2006/relationships/hyperlink" Target="http://facebook.com/alejandro.ramirezdesilva" TargetMode="External"/><Relationship Id="rId693" Type="http://schemas.openxmlformats.org/officeDocument/2006/relationships/hyperlink" Target="https://pbs.twimg.com/media/Dsou79mVAAA934I.jpg" TargetMode="External"/><Relationship Id="rId2167" Type="http://schemas.openxmlformats.org/officeDocument/2006/relationships/hyperlink" Target="https://pbs.twimg.com/media/Dshtfl_WkAEEbYP.jpg" TargetMode="External"/><Relationship Id="rId2374" Type="http://schemas.openxmlformats.org/officeDocument/2006/relationships/hyperlink" Target="http://www.elmundo.es/andalucia.html" TargetMode="External"/><Relationship Id="rId2581" Type="http://schemas.openxmlformats.org/officeDocument/2006/relationships/hyperlink" Target="https://pbs.twimg.com/media/DseKTPEWoAA6DCD.jpg" TargetMode="External"/><Relationship Id="rId139" Type="http://schemas.openxmlformats.org/officeDocument/2006/relationships/hyperlink" Target="https://youtu.be/VSEjksH8NfU" TargetMode="External"/><Relationship Id="rId346" Type="http://schemas.openxmlformats.org/officeDocument/2006/relationships/hyperlink" Target="http://130aniversariougt.es/pablo-iglesias-condicion-social-mujer/" TargetMode="External"/><Relationship Id="rId553" Type="http://schemas.openxmlformats.org/officeDocument/2006/relationships/hyperlink" Target="https://youtu.be/Vn5QOJG3_SM" TargetMode="External"/><Relationship Id="rId760" Type="http://schemas.openxmlformats.org/officeDocument/2006/relationships/hyperlink" Target="https://elpais.com/elpais/2018/11/21/opinion/1542806031_921444.html?id_externo_rsoc=TW_CC" TargetMode="External"/><Relationship Id="rId998" Type="http://schemas.openxmlformats.org/officeDocument/2006/relationships/hyperlink" Target="https://www.youtube.com/channel/UCk2gU-wuojnmpv-ITS9Wyng" TargetMode="External"/><Relationship Id="rId1183" Type="http://schemas.openxmlformats.org/officeDocument/2006/relationships/hyperlink" Target="http://www.periodistadigital.com/" TargetMode="External"/><Relationship Id="rId1390" Type="http://schemas.openxmlformats.org/officeDocument/2006/relationships/hyperlink" Target="https://elpais.com/elpais/2018/11/21/opinion/1542806031_921444.html?id_externo_rsoc=TW_CC" TargetMode="External"/><Relationship Id="rId2027" Type="http://schemas.openxmlformats.org/officeDocument/2006/relationships/hyperlink" Target="http://www.bitmomentum.com/" TargetMode="External"/><Relationship Id="rId2234" Type="http://schemas.openxmlformats.org/officeDocument/2006/relationships/hyperlink" Target="https://lapaseata.net/2018/11/21/basta-ya-pablo-iglesias/" TargetMode="External"/><Relationship Id="rId2441" Type="http://schemas.openxmlformats.org/officeDocument/2006/relationships/hyperlink" Target="https://www.elconfidencial.com/espana/2018-11-18/desencanto-podemos-circulos-pablo-iglesias-carmena_1653050/?utm_campaign=BotoneraWebapp&amp;utm_source=twitter&amp;utm_medium=social" TargetMode="External"/><Relationship Id="rId2679" Type="http://schemas.openxmlformats.org/officeDocument/2006/relationships/hyperlink" Target="https://pbs.twimg.com/media/DsdkvrxWsAABfFy.jpg" TargetMode="External"/><Relationship Id="rId2886" Type="http://schemas.openxmlformats.org/officeDocument/2006/relationships/hyperlink" Target="https://pbs.twimg.com/media/DscMlFaXcAEHfiJ.jpg" TargetMode="External"/><Relationship Id="rId206" Type="http://schemas.openxmlformats.org/officeDocument/2006/relationships/hyperlink" Target="http://cadenaser.com/programa/2018/11/22/hoy_por_hoy/1542900365_285470.html?ssm=tw" TargetMode="External"/><Relationship Id="rId413" Type="http://schemas.openxmlformats.org/officeDocument/2006/relationships/hyperlink" Target="https://twitter.com/ahorapodemos/status/1065889583076913152" TargetMode="External"/><Relationship Id="rId858" Type="http://schemas.openxmlformats.org/officeDocument/2006/relationships/hyperlink" Target="https://www.youtube.com/attribution_link?a=OHPfYQkRn5o&amp;u=%2Fwatch%3Fv%3DVn5QOJG3_SM%26feature%3Dshare" TargetMode="External"/><Relationship Id="rId1043" Type="http://schemas.openxmlformats.org/officeDocument/2006/relationships/hyperlink" Target="https://elpais.com/elpais/2018/11/21/opinion/1542806031_921444.html?id_externo_rsoc=TW_CC" TargetMode="External"/><Relationship Id="rId1488" Type="http://schemas.openxmlformats.org/officeDocument/2006/relationships/hyperlink" Target="https://elpais.com/elpais/2018/11/21/opinion/1542806031_921444.html?id_externo_rsoc=TW_CC" TargetMode="External"/><Relationship Id="rId1695" Type="http://schemas.openxmlformats.org/officeDocument/2006/relationships/hyperlink" Target="https://elpais.com/elpais/2018/11/21/opinion/1542806031_921444.html?id_externo_rsoc=TW_CC" TargetMode="External"/><Relationship Id="rId2539" Type="http://schemas.openxmlformats.org/officeDocument/2006/relationships/hyperlink" Target="https://www.periodistadigital.com/periodismo/tv/2018/11/20/pedro-sanchez-pablo-iglesias-presupuestos-elecciones-ferreras-gobierno.shtml" TargetMode="External"/><Relationship Id="rId2746" Type="http://schemas.openxmlformats.org/officeDocument/2006/relationships/hyperlink" Target="http://www.lasexta.com/noticias/" TargetMode="External"/><Relationship Id="rId2953" Type="http://schemas.openxmlformats.org/officeDocument/2006/relationships/hyperlink" Target="https://www.google.es/amp/s/m.eldiario.es/economia/Airbus-contrato-subcontrata-indefinida-despidos_0_835016575.amp.html" TargetMode="External"/><Relationship Id="rId620" Type="http://schemas.openxmlformats.org/officeDocument/2006/relationships/hyperlink" Target="https://extraconfidencial.com/noticias/marlaska-retira-parte-de-la-escolta-a-los-ex-ministros-de-interior-y-al-juez-llanera-que-se-quedan-solos-ante-los-cdr/" TargetMode="External"/><Relationship Id="rId718" Type="http://schemas.openxmlformats.org/officeDocument/2006/relationships/hyperlink" Target="https://m.eldiario.es/_31fba808" TargetMode="External"/><Relationship Id="rId925" Type="http://schemas.openxmlformats.org/officeDocument/2006/relationships/hyperlink" Target="https://pbs.twimg.com/media/DsntbMTWsAE3A2P.jpg" TargetMode="External"/><Relationship Id="rId1250" Type="http://schemas.openxmlformats.org/officeDocument/2006/relationships/hyperlink" Target="https://curiouscat.me/Garci" TargetMode="External"/><Relationship Id="rId1348" Type="http://schemas.openxmlformats.org/officeDocument/2006/relationships/hyperlink" Target="https://elpais.com/elpais/2018/11/21/opinion/1542806031_921444.html" TargetMode="External"/><Relationship Id="rId1555" Type="http://schemas.openxmlformats.org/officeDocument/2006/relationships/hyperlink" Target="https://pbs.twimg.com/media/Dsl-3-HWwAA48IS.jpg" TargetMode="External"/><Relationship Id="rId1762" Type="http://schemas.openxmlformats.org/officeDocument/2006/relationships/hyperlink" Target="https://www.theguardian.com/world/ng-interactive/2018/nov/21/how-populist-are-you-quiz" TargetMode="External"/><Relationship Id="rId2301" Type="http://schemas.openxmlformats.org/officeDocument/2006/relationships/hyperlink" Target="https://okdiario.com/espana/2017/06/12/pp-obligara-iglesias-explicar-senado-cuenta-272-000-paraiso-fiscal-1068194?fbclid=IwAR3mQEbKS6FGFcNU9qctG771QTby8pCo5_YXL5aSTu-8sC0ML5UEiUyXzx4" TargetMode="External"/><Relationship Id="rId2606" Type="http://schemas.openxmlformats.org/officeDocument/2006/relationships/hyperlink" Target="http://a.msn.com/01/es-es/BBPULxB?ocid=st" TargetMode="External"/><Relationship Id="rId1110" Type="http://schemas.openxmlformats.org/officeDocument/2006/relationships/hyperlink" Target="https://elpais.com/elpais/2018/11/21/opinion/1542806031_921444.html" TargetMode="External"/><Relationship Id="rId1208" Type="http://schemas.openxmlformats.org/officeDocument/2006/relationships/hyperlink" Target="http://www.alvaromieres.wordpress.com/" TargetMode="External"/><Relationship Id="rId1415" Type="http://schemas.openxmlformats.org/officeDocument/2006/relationships/hyperlink" Target="https://elpais.com/elpais/2018/11/21/opinion/1542806031_921444.html?id_externo_rsoc=TW_CC" TargetMode="External"/><Relationship Id="rId2813" Type="http://schemas.openxmlformats.org/officeDocument/2006/relationships/hyperlink" Target="https://goo.gl/y61K0g" TargetMode="External"/><Relationship Id="rId54" Type="http://schemas.openxmlformats.org/officeDocument/2006/relationships/hyperlink" Target="https://okdiario.com/espana/2017/04/18/iglesias-pierde-juicio-inda-noticia-cuenta-banco-offshore-veraz-920141" TargetMode="External"/><Relationship Id="rId1622" Type="http://schemas.openxmlformats.org/officeDocument/2006/relationships/hyperlink" Target="https://elpais.com/elpais/2018/11/21/opinion/1542806031_921444.html" TargetMode="External"/><Relationship Id="rId1927" Type="http://schemas.openxmlformats.org/officeDocument/2006/relationships/hyperlink" Target="https://pbs.twimg.com/media/DsjPW-_WwAEA42y.jpg" TargetMode="External"/><Relationship Id="rId2091" Type="http://schemas.openxmlformats.org/officeDocument/2006/relationships/hyperlink" Target="https://pbs.twimg.com/media/DsiJMfEWsAUP-Li.jpg" TargetMode="External"/><Relationship Id="rId2189" Type="http://schemas.openxmlformats.org/officeDocument/2006/relationships/hyperlink" Target="http://www.bitmomentum.com/" TargetMode="External"/><Relationship Id="rId270" Type="http://schemas.openxmlformats.org/officeDocument/2006/relationships/hyperlink" Target="http://johnnyzuri.zurired.es/" TargetMode="External"/><Relationship Id="rId2396" Type="http://schemas.openxmlformats.org/officeDocument/2006/relationships/hyperlink" Target="https://www.elmundo.es/andalucia/2018/11/21/5bf46ba046163f4da28b4607.html" TargetMode="External"/><Relationship Id="rId130" Type="http://schemas.openxmlformats.org/officeDocument/2006/relationships/hyperlink" Target="http://cadenaser.com/programa/2018/11/22/hoy_por_hoy/1542900365_285470.html?autoplay=" TargetMode="External"/><Relationship Id="rId368" Type="http://schemas.openxmlformats.org/officeDocument/2006/relationships/hyperlink" Target="https://pbs.twimg.com/media/DsrVhPBXcAA2he9.jpg" TargetMode="External"/><Relationship Id="rId575" Type="http://schemas.openxmlformats.org/officeDocument/2006/relationships/hyperlink" Target="https://pbs.twimg.com/media/Dspln3cUUAANgph.jpg" TargetMode="External"/><Relationship Id="rId782" Type="http://schemas.openxmlformats.org/officeDocument/2006/relationships/hyperlink" Target="http://www.rnplegal.com/" TargetMode="External"/><Relationship Id="rId2049" Type="http://schemas.openxmlformats.org/officeDocument/2006/relationships/hyperlink" Target="https://pbs.twimg.com/media/Dsifwc1X4AAQX8s.jpg" TargetMode="External"/><Relationship Id="rId2256" Type="http://schemas.openxmlformats.org/officeDocument/2006/relationships/hyperlink" Target="http://elperroverdeverde.blogspot.com.es/?m=1" TargetMode="External"/><Relationship Id="rId2463" Type="http://schemas.openxmlformats.org/officeDocument/2006/relationships/hyperlink" Target="https://elpais.com/politica/2018/11/14/actualidad/1542191299_860667.html?id_externo_rsoc=FB_CC" TargetMode="External"/><Relationship Id="rId2670" Type="http://schemas.openxmlformats.org/officeDocument/2006/relationships/hyperlink" Target="https://pbs.twimg.com/media/DsdxcMdW0Acgetg.jpg" TargetMode="External"/><Relationship Id="rId228" Type="http://schemas.openxmlformats.org/officeDocument/2006/relationships/hyperlink" Target="http://www.europapress.es/nacional/" TargetMode="External"/><Relationship Id="rId435" Type="http://schemas.openxmlformats.org/officeDocument/2006/relationships/hyperlink" Target="https://www.facebook.com/victoriandres" TargetMode="External"/><Relationship Id="rId642" Type="http://schemas.openxmlformats.org/officeDocument/2006/relationships/hyperlink" Target="http://pic.twitter.com/HQyKeoAL9c" TargetMode="External"/><Relationship Id="rId1065" Type="http://schemas.openxmlformats.org/officeDocument/2006/relationships/hyperlink" Target="http://ow.ly/Ndet30mIoS5" TargetMode="External"/><Relationship Id="rId1272" Type="http://schemas.openxmlformats.org/officeDocument/2006/relationships/hyperlink" Target="http://errenteriagorria.blogspot.com/" TargetMode="External"/><Relationship Id="rId2116" Type="http://schemas.openxmlformats.org/officeDocument/2006/relationships/hyperlink" Target="http://elotrokiosko.net/" TargetMode="External"/><Relationship Id="rId2323" Type="http://schemas.openxmlformats.org/officeDocument/2006/relationships/hyperlink" Target="https://youtu.be/vqX67AnoYaM" TargetMode="External"/><Relationship Id="rId2530" Type="http://schemas.openxmlformats.org/officeDocument/2006/relationships/hyperlink" Target="http://www.radiosporting.es/" TargetMode="External"/><Relationship Id="rId2768" Type="http://schemas.openxmlformats.org/officeDocument/2006/relationships/hyperlink" Target="http://www.mmlpqtp.com.ar/" TargetMode="External"/><Relationship Id="rId2975" Type="http://schemas.openxmlformats.org/officeDocument/2006/relationships/hyperlink" Target="https://pbs.twimg.com/media/Dsck736WwAA9ISA.jpg" TargetMode="External"/><Relationship Id="rId502" Type="http://schemas.openxmlformats.org/officeDocument/2006/relationships/hyperlink" Target="http://jordipsalvador.info/" TargetMode="External"/><Relationship Id="rId947" Type="http://schemas.openxmlformats.org/officeDocument/2006/relationships/hyperlink" Target="https://elpais.com/elpais/2018/11/21/opinion/1542806031_921444.html?id_externo_rsoc=TW_CC" TargetMode="External"/><Relationship Id="rId1132" Type="http://schemas.openxmlformats.org/officeDocument/2006/relationships/hyperlink" Target="http://youtu.be/m66j1JQzVT0?a" TargetMode="External"/><Relationship Id="rId1577" Type="http://schemas.openxmlformats.org/officeDocument/2006/relationships/hyperlink" Target="https://elpais.com/elpais/2018/11/21/opinion/1542806031_921444.html" TargetMode="External"/><Relationship Id="rId1784" Type="http://schemas.openxmlformats.org/officeDocument/2006/relationships/hyperlink" Target="https://youtu.be/1zKl-ybgbm0" TargetMode="External"/><Relationship Id="rId1991" Type="http://schemas.openxmlformats.org/officeDocument/2006/relationships/hyperlink" Target="https://pbs.twimg.com/media/Dsi6MLPXcAEk6NR.jpg" TargetMode="External"/><Relationship Id="rId2628" Type="http://schemas.openxmlformats.org/officeDocument/2006/relationships/hyperlink" Target="http://atres.red/g7a2u4" TargetMode="External"/><Relationship Id="rId2835" Type="http://schemas.openxmlformats.org/officeDocument/2006/relationships/hyperlink" Target="https://pbs.twimg.com/media/DsdHSTGXoAA17gW.jpg" TargetMode="External"/><Relationship Id="rId76" Type="http://schemas.openxmlformats.org/officeDocument/2006/relationships/hyperlink" Target="https://elpais.com/elpais/2018/11/21/opinion/1542806031_921444.html" TargetMode="External"/><Relationship Id="rId807" Type="http://schemas.openxmlformats.org/officeDocument/2006/relationships/hyperlink" Target="http://insurgente.org/" TargetMode="External"/><Relationship Id="rId1437" Type="http://schemas.openxmlformats.org/officeDocument/2006/relationships/hyperlink" Target="https://elpais.com/elpais/2018/11/21/opinion/1542806031_921444.html?id_externo_rsoc=TW_CC" TargetMode="External"/><Relationship Id="rId1644" Type="http://schemas.openxmlformats.org/officeDocument/2006/relationships/hyperlink" Target="https://elpais.com/elpais/2018/11/21/opinion/1542806031_921444.html?id_externo_rsoc=TW_CC" TargetMode="External"/><Relationship Id="rId1851" Type="http://schemas.openxmlformats.org/officeDocument/2006/relationships/hyperlink" Target="https://pbs.twimg.com/media/Dsd9qBYXoAE03un.jpg" TargetMode="External"/><Relationship Id="rId2902" Type="http://schemas.openxmlformats.org/officeDocument/2006/relationships/hyperlink" Target="https://youtu.be/10GbLcvIVTQ" TargetMode="External"/><Relationship Id="rId1504" Type="http://schemas.openxmlformats.org/officeDocument/2006/relationships/hyperlink" Target="https://twitter.com/nanchinho/status/1064948414578917376" TargetMode="External"/><Relationship Id="rId1711" Type="http://schemas.openxmlformats.org/officeDocument/2006/relationships/hyperlink" Target="https://elpais.com/elpais/2018/11/21/opinion/1542806031_921444.html?id_externo_rsoc=TW_CC" TargetMode="External"/><Relationship Id="rId1949" Type="http://schemas.openxmlformats.org/officeDocument/2006/relationships/hyperlink" Target="https://pbs.twimg.com/media/DsjI_kqXgAAsDlL.jpg" TargetMode="External"/><Relationship Id="rId292" Type="http://schemas.openxmlformats.org/officeDocument/2006/relationships/hyperlink" Target="https://www.elperiodicodearagon.com/noticias/opinion/encuesta-filosofal_1325634.html" TargetMode="External"/><Relationship Id="rId1809" Type="http://schemas.openxmlformats.org/officeDocument/2006/relationships/hyperlink" Target="https://www.theguardian.com/world/ng-interactive/2018/nov/21/how-populist-are-you-quiz" TargetMode="External"/><Relationship Id="rId597" Type="http://schemas.openxmlformats.org/officeDocument/2006/relationships/hyperlink" Target="https://ofardodefarinhas.wordpress.com/" TargetMode="External"/><Relationship Id="rId2180" Type="http://schemas.openxmlformats.org/officeDocument/2006/relationships/hyperlink" Target="http://prnoticias.com/comunicacion/prcomunicacion/20170757-silencio-comunicativo-de-airbus-ante-el-conflicto-en-sus-plantas-de-illescas-y-getafe" TargetMode="External"/><Relationship Id="rId2278" Type="http://schemas.openxmlformats.org/officeDocument/2006/relationships/hyperlink" Target="http://www.radiosporting.es/" TargetMode="External"/><Relationship Id="rId2485" Type="http://schemas.openxmlformats.org/officeDocument/2006/relationships/hyperlink" Target="https://twitter.com/JorgeGlas/status/1064929102719852544" TargetMode="External"/><Relationship Id="rId152" Type="http://schemas.openxmlformats.org/officeDocument/2006/relationships/hyperlink" Target="https://www.facebook.com/victoriandres" TargetMode="External"/><Relationship Id="rId457" Type="http://schemas.openxmlformats.org/officeDocument/2006/relationships/hyperlink" Target="https://pbs.twimg.com/media/DsrIc8cU0AAvqcu.jpg" TargetMode="External"/><Relationship Id="rId1087" Type="http://schemas.openxmlformats.org/officeDocument/2006/relationships/hyperlink" Target="http://soyvotanteco.blogspot.com.co/" TargetMode="External"/><Relationship Id="rId1294" Type="http://schemas.openxmlformats.org/officeDocument/2006/relationships/hyperlink" Target="https://curiouscat.me/Pulposaurus" TargetMode="External"/><Relationship Id="rId2040" Type="http://schemas.openxmlformats.org/officeDocument/2006/relationships/hyperlink" Target="https://twitter.com/HispaniaFortius" TargetMode="External"/><Relationship Id="rId2138" Type="http://schemas.openxmlformats.org/officeDocument/2006/relationships/hyperlink" Target="https://pbs.twimg.com/media/Dsh1gjNXoAEg0lc.jpg" TargetMode="External"/><Relationship Id="rId2692" Type="http://schemas.openxmlformats.org/officeDocument/2006/relationships/hyperlink" Target="http://www.redaccionmedica.com/" TargetMode="External"/><Relationship Id="rId664" Type="http://schemas.openxmlformats.org/officeDocument/2006/relationships/hyperlink" Target="https://elpais.com/elpais/2018/11/21/opinion/1542806031_921444.html" TargetMode="External"/><Relationship Id="rId871" Type="http://schemas.openxmlformats.org/officeDocument/2006/relationships/hyperlink" Target="https://elpais.com/elpais/2018/11/21/opinion/1542806031_921444.html?id_externo_rsoc=TW_CC" TargetMode="External"/><Relationship Id="rId969" Type="http://schemas.openxmlformats.org/officeDocument/2006/relationships/hyperlink" Target="https://m.eldiario.es/_31fba808" TargetMode="External"/><Relationship Id="rId1599" Type="http://schemas.openxmlformats.org/officeDocument/2006/relationships/hyperlink" Target="https://elpais.com/elpais/2018/11/21/opinion/1542806031_921444.html" TargetMode="External"/><Relationship Id="rId2345" Type="http://schemas.openxmlformats.org/officeDocument/2006/relationships/hyperlink" Target="https://pbs.twimg.com/media/Dsg6fSWXgAASPF-.jpg" TargetMode="External"/><Relationship Id="rId2552" Type="http://schemas.openxmlformats.org/officeDocument/2006/relationships/hyperlink" Target="https://pbs.twimg.com/media/DseXrIOWwAAeslm.jpg" TargetMode="External"/><Relationship Id="rId317" Type="http://schemas.openxmlformats.org/officeDocument/2006/relationships/hyperlink" Target="https://elpais.com/elpais/2018/11/21/opinion/1542806031_921444.html?id_externo_rsoc=TW_CC" TargetMode="External"/><Relationship Id="rId524" Type="http://schemas.openxmlformats.org/officeDocument/2006/relationships/hyperlink" Target="https://cantabrisimo.wordpress.com/" TargetMode="External"/><Relationship Id="rId731" Type="http://schemas.openxmlformats.org/officeDocument/2006/relationships/hyperlink" Target="https://www.publico.es/politica/albert-rivera-farfulla-capullo-y.html" TargetMode="External"/><Relationship Id="rId1154" Type="http://schemas.openxmlformats.org/officeDocument/2006/relationships/hyperlink" Target="https://elpais.com/elpais/2018/11/21/opinion/1542806031_921444.html" TargetMode="External"/><Relationship Id="rId1361" Type="http://schemas.openxmlformats.org/officeDocument/2006/relationships/hyperlink" Target="https://pbs.twimg.com/media/DsmYin-XQAEnw_Q.jpg" TargetMode="External"/><Relationship Id="rId1459" Type="http://schemas.openxmlformats.org/officeDocument/2006/relationships/hyperlink" Target="https://davidquiros.es/" TargetMode="External"/><Relationship Id="rId2205" Type="http://schemas.openxmlformats.org/officeDocument/2006/relationships/hyperlink" Target="http://pic.twitter.com/BGAWKidnn3" TargetMode="External"/><Relationship Id="rId2412" Type="http://schemas.openxmlformats.org/officeDocument/2006/relationships/hyperlink" Target="https://www.elmundo.es/andalucia/2018/11/21/5bf46ba046163f4da28b4607.html" TargetMode="External"/><Relationship Id="rId2857" Type="http://schemas.openxmlformats.org/officeDocument/2006/relationships/hyperlink" Target="https://www.elmundo.es/espana/2018/11/20/5bf407ae46163f14b08b460e.html" TargetMode="External"/><Relationship Id="rId98" Type="http://schemas.openxmlformats.org/officeDocument/2006/relationships/hyperlink" Target="https://www.europapress.es/nacional/noticia-pablo-iglesias-asegura-no-apoyara-pedro-sanchez-patrioterismos-extranos-relacion-gibraltar-20181123115328.html" TargetMode="External"/><Relationship Id="rId829" Type="http://schemas.openxmlformats.org/officeDocument/2006/relationships/hyperlink" Target="http://pic.twitter.com/QkPEl6xrvQ" TargetMode="External"/><Relationship Id="rId1014" Type="http://schemas.openxmlformats.org/officeDocument/2006/relationships/hyperlink" Target="https://elpais.com/elpais/2018/11/21/opinion/1542806031_921444.html?id_externo_rsoc=TW_CC" TargetMode="External"/><Relationship Id="rId1221" Type="http://schemas.openxmlformats.org/officeDocument/2006/relationships/hyperlink" Target="https://pbs.twimg.com/media/Dsmv3ZlW0AI-D26.jpg" TargetMode="External"/><Relationship Id="rId1666" Type="http://schemas.openxmlformats.org/officeDocument/2006/relationships/hyperlink" Target="https://elpais.com/elpais/2018/11/21/opinion/1542806031_921444.html?id_externo_rsoc=TW_CC" TargetMode="External"/><Relationship Id="rId1873" Type="http://schemas.openxmlformats.org/officeDocument/2006/relationships/hyperlink" Target="http://pic.twitter.com/uBBj1oMrzl" TargetMode="External"/><Relationship Id="rId2717" Type="http://schemas.openxmlformats.org/officeDocument/2006/relationships/hyperlink" Target="https://www.lasexta.com/programas/al-rojo-vivo/entrevistas/pablo-iglesias-el-gobierno-se-habria-podido-currar-mas-que-salgan-los-pge-no-podemos-hacerlo-todo-video_201811205bf4093f0cf2abe03a75241e.html" TargetMode="External"/><Relationship Id="rId2924" Type="http://schemas.openxmlformats.org/officeDocument/2006/relationships/hyperlink" Target="http://page.is/R.Torres" TargetMode="External"/><Relationship Id="rId1319" Type="http://schemas.openxmlformats.org/officeDocument/2006/relationships/hyperlink" Target="https://www.huffingtonpost.es/2018/11/06/el-aplaudido-argumento-de-pablo-iglesias-en-defensa-de-dani-mateo-tras-lo-que-esta-pasando-con-el-juez-de-las-hipotecas_a_23581181/" TargetMode="External"/><Relationship Id="rId1526" Type="http://schemas.openxmlformats.org/officeDocument/2006/relationships/hyperlink" Target="https://www.facebook.com/pages/Podemos-Lavapi%C3%A9s/615103381877524?ref=hl" TargetMode="External"/><Relationship Id="rId1733" Type="http://schemas.openxmlformats.org/officeDocument/2006/relationships/hyperlink" Target="https://elpais.com/elpais/2018/11/21/opinion/1542806031_921444.html" TargetMode="External"/><Relationship Id="rId1940" Type="http://schemas.openxmlformats.org/officeDocument/2006/relationships/hyperlink" Target="https://pbs.twimg.com/media/DsjKLBTXgAAvWnb.jpg" TargetMode="External"/><Relationship Id="rId25" Type="http://schemas.openxmlformats.org/officeDocument/2006/relationships/hyperlink" Target="https://pbs.twimg.com/media/DssbvlFWsAEslGJ.jpg" TargetMode="External"/><Relationship Id="rId1800" Type="http://schemas.openxmlformats.org/officeDocument/2006/relationships/hyperlink" Target="https://plus.google.com/101097701906649811564" TargetMode="External"/><Relationship Id="rId174" Type="http://schemas.openxmlformats.org/officeDocument/2006/relationships/hyperlink" Target="https://bit.ly/2R2DZzU" TargetMode="External"/><Relationship Id="rId381" Type="http://schemas.openxmlformats.org/officeDocument/2006/relationships/hyperlink" Target="http://www.expansion.com/" TargetMode="External"/><Relationship Id="rId2062" Type="http://schemas.openxmlformats.org/officeDocument/2006/relationships/hyperlink" Target="https://ift.tt/2DRc9DX" TargetMode="External"/><Relationship Id="rId241" Type="http://schemas.openxmlformats.org/officeDocument/2006/relationships/hyperlink" Target="https://pbs.twimg.com/media/DsrrO42XoAEMcbY.jpg" TargetMode="External"/><Relationship Id="rId479" Type="http://schemas.openxmlformats.org/officeDocument/2006/relationships/hyperlink" Target="http://www.hoyporhoy.es/" TargetMode="External"/><Relationship Id="rId686" Type="http://schemas.openxmlformats.org/officeDocument/2006/relationships/hyperlink" Target="https://elpais.com/elpais/2018/11/21/opinion/1542806031_921444.html?id_externo_rsoc=TW_CC" TargetMode="External"/><Relationship Id="rId893" Type="http://schemas.openxmlformats.org/officeDocument/2006/relationships/hyperlink" Target="https://primarias2019.podemos.info/" TargetMode="External"/><Relationship Id="rId2367" Type="http://schemas.openxmlformats.org/officeDocument/2006/relationships/hyperlink" Target="https://www.elmundo.es/andalucia/2018/11/21/5bf46ba046163f4da28b4607.html" TargetMode="External"/><Relationship Id="rId2574" Type="http://schemas.openxmlformats.org/officeDocument/2006/relationships/hyperlink" Target="http://www.periodistadigital.com/" TargetMode="External"/><Relationship Id="rId2781" Type="http://schemas.openxmlformats.org/officeDocument/2006/relationships/hyperlink" Target="http://www.youtube.com/keymervin" TargetMode="External"/><Relationship Id="rId339" Type="http://schemas.openxmlformats.org/officeDocument/2006/relationships/hyperlink" Target="http://www.ugt.es/" TargetMode="External"/><Relationship Id="rId546" Type="http://schemas.openxmlformats.org/officeDocument/2006/relationships/hyperlink" Target="https://elpais.com/elpais/2018/11/21/opinion/1542806031_921444.html?id_externo_rsoc=TW_CC" TargetMode="External"/><Relationship Id="rId753" Type="http://schemas.openxmlformats.org/officeDocument/2006/relationships/hyperlink" Target="https://pbs.twimg.com/media/DsobIQ9XQAATeul.jpg" TargetMode="External"/><Relationship Id="rId1176" Type="http://schemas.openxmlformats.org/officeDocument/2006/relationships/hyperlink" Target="https://www.facebook.com/Informalia" TargetMode="External"/><Relationship Id="rId1383" Type="http://schemas.openxmlformats.org/officeDocument/2006/relationships/hyperlink" Target="https://pbs.twimg.com/media/DsmWJVFWkAAVbcT.jpg" TargetMode="External"/><Relationship Id="rId2227" Type="http://schemas.openxmlformats.org/officeDocument/2006/relationships/hyperlink" Target="http://pic.twitter.com/PbrDJpmNb7" TargetMode="External"/><Relationship Id="rId2434" Type="http://schemas.openxmlformats.org/officeDocument/2006/relationships/hyperlink" Target="https://pbs.twimg.com/media/Dse_iFrXQAA6AEk.jpg" TargetMode="External"/><Relationship Id="rId2879" Type="http://schemas.openxmlformats.org/officeDocument/2006/relationships/hyperlink" Target="https://pbs.twimg.com/media/DsZr4yJWsAARuaR.jpg" TargetMode="External"/><Relationship Id="rId101" Type="http://schemas.openxmlformats.org/officeDocument/2006/relationships/hyperlink" Target="https://ift.tt/2r4c4nH" TargetMode="External"/><Relationship Id="rId406" Type="http://schemas.openxmlformats.org/officeDocument/2006/relationships/hyperlink" Target="http://cadenaser.com/programa/2018/11/22/hoy_por_hoy/1542900365_285470.html?ssm=tw" TargetMode="External"/><Relationship Id="rId960" Type="http://schemas.openxmlformats.org/officeDocument/2006/relationships/hyperlink" Target="https://pbs.twimg.com/media/DsntTtbVYAArDt_.jpg" TargetMode="External"/><Relationship Id="rId1036" Type="http://schemas.openxmlformats.org/officeDocument/2006/relationships/hyperlink" Target="https://twitter.com/CastigadorY/status/1065579194179031040" TargetMode="External"/><Relationship Id="rId1243" Type="http://schemas.openxmlformats.org/officeDocument/2006/relationships/hyperlink" Target="https://www.facebook.com/RamonEspinar/" TargetMode="External"/><Relationship Id="rId1590" Type="http://schemas.openxmlformats.org/officeDocument/2006/relationships/hyperlink" Target="https://www.facebook.com/JoseMonty69" TargetMode="External"/><Relationship Id="rId1688" Type="http://schemas.openxmlformats.org/officeDocument/2006/relationships/hyperlink" Target="http://www.tentcomunicacion.com/" TargetMode="External"/><Relationship Id="rId1895" Type="http://schemas.openxmlformats.org/officeDocument/2006/relationships/hyperlink" Target="https://linktr.ee/whoiscoming_" TargetMode="External"/><Relationship Id="rId2641" Type="http://schemas.openxmlformats.org/officeDocument/2006/relationships/hyperlink" Target="http://youtu.be/dJQamM0sPOk?a" TargetMode="External"/><Relationship Id="rId2739" Type="http://schemas.openxmlformats.org/officeDocument/2006/relationships/hyperlink" Target="http://www.liberaong.org/" TargetMode="External"/><Relationship Id="rId2946" Type="http://schemas.openxmlformats.org/officeDocument/2006/relationships/hyperlink" Target="http://pic.twitter.com/Jg9Rmx3r86" TargetMode="External"/><Relationship Id="rId613" Type="http://schemas.openxmlformats.org/officeDocument/2006/relationships/hyperlink" Target="https://elpais.com/politica/2018/11/16/actualidad/1542383208_644485.html" TargetMode="External"/><Relationship Id="rId820" Type="http://schemas.openxmlformats.org/officeDocument/2006/relationships/hyperlink" Target="http://www.ramacabici.com/" TargetMode="External"/><Relationship Id="rId918" Type="http://schemas.openxmlformats.org/officeDocument/2006/relationships/hyperlink" Target="https://www.elmiracielos.com/miscelanea/ciberseguridad-ready-player-one/" TargetMode="External"/><Relationship Id="rId1450" Type="http://schemas.openxmlformats.org/officeDocument/2006/relationships/hyperlink" Target="https://pbs.twimg.com/media/DsmMN9PXQAAgIvS.jpg" TargetMode="External"/><Relationship Id="rId1548" Type="http://schemas.openxmlformats.org/officeDocument/2006/relationships/hyperlink" Target="https://curiouscat.me/BreakFyre/post/713636413?t=1542875715" TargetMode="External"/><Relationship Id="rId1755" Type="http://schemas.openxmlformats.org/officeDocument/2006/relationships/hyperlink" Target="https://pbs.twimg.com/media/DslMgHVVYAA7CYZ.jpg" TargetMode="External"/><Relationship Id="rId2501" Type="http://schemas.openxmlformats.org/officeDocument/2006/relationships/hyperlink" Target="https://pbs.twimg.com/media/DsY1DsRXQAEGVYK.jpg" TargetMode="External"/><Relationship Id="rId1103" Type="http://schemas.openxmlformats.org/officeDocument/2006/relationships/hyperlink" Target="https://twitter.com/clementeparati/status/1065537575379759105" TargetMode="External"/><Relationship Id="rId1310" Type="http://schemas.openxmlformats.org/officeDocument/2006/relationships/hyperlink" Target="http://www.marcaespana.es/" TargetMode="External"/><Relationship Id="rId1408" Type="http://schemas.openxmlformats.org/officeDocument/2006/relationships/hyperlink" Target="https://elrinconcito-georgina.blogspot.com/2018/11/problemas-para-comprar-coches-de.html" TargetMode="External"/><Relationship Id="rId1962" Type="http://schemas.openxmlformats.org/officeDocument/2006/relationships/hyperlink" Target="https://pbs.twimg.com/media/DsjE-QSU4AAXWUn.png" TargetMode="External"/><Relationship Id="rId2806" Type="http://schemas.openxmlformats.org/officeDocument/2006/relationships/hyperlink" Target="https://pbs.twimg.com/media/DsdNP_WW0AANAGb.jpg" TargetMode="External"/><Relationship Id="rId47" Type="http://schemas.openxmlformats.org/officeDocument/2006/relationships/hyperlink" Target="https://pbs.twimg.com/media/DssU-tpXcAAHtug.jpg" TargetMode="External"/><Relationship Id="rId1615" Type="http://schemas.openxmlformats.org/officeDocument/2006/relationships/hyperlink" Target="https://elpais.com/elpais/2018/11/21/opinion/1542806031_921444.html?id_externo_rsoc=TW_CM" TargetMode="External"/><Relationship Id="rId1822" Type="http://schemas.openxmlformats.org/officeDocument/2006/relationships/hyperlink" Target="http://www.facebook.com/joanlluis" TargetMode="External"/><Relationship Id="rId196" Type="http://schemas.openxmlformats.org/officeDocument/2006/relationships/hyperlink" Target="http://www.sesiondecontrol.org/" TargetMode="External"/><Relationship Id="rId2084" Type="http://schemas.openxmlformats.org/officeDocument/2006/relationships/hyperlink" Target="https://youtu.be/nHodn42YiJw" TargetMode="External"/><Relationship Id="rId2291" Type="http://schemas.openxmlformats.org/officeDocument/2006/relationships/hyperlink" Target="https://pbs.twimg.com/media/DsgN_Y3WsAAbU0L.jpg" TargetMode="External"/><Relationship Id="rId263" Type="http://schemas.openxmlformats.org/officeDocument/2006/relationships/hyperlink" Target="https://ift.tt/2TCr4Gw" TargetMode="External"/><Relationship Id="rId470" Type="http://schemas.openxmlformats.org/officeDocument/2006/relationships/hyperlink" Target="http://dlvr.it/QrvyBr" TargetMode="External"/><Relationship Id="rId2151" Type="http://schemas.openxmlformats.org/officeDocument/2006/relationships/hyperlink" Target="https://www.elmundo.es/andalucia/2018/11/21/5bf46ba046163f4da28b4607.html" TargetMode="External"/><Relationship Id="rId2389" Type="http://schemas.openxmlformats.org/officeDocument/2006/relationships/hyperlink" Target="http://vk.com/uruka" TargetMode="External"/><Relationship Id="rId2596" Type="http://schemas.openxmlformats.org/officeDocument/2006/relationships/hyperlink" Target="https://pbs.twimg.com/media/Dsds1VLXcAA3Ud5.jpg" TargetMode="External"/><Relationship Id="rId123" Type="http://schemas.openxmlformats.org/officeDocument/2006/relationships/hyperlink" Target="http://unidadpopular.es/" TargetMode="External"/><Relationship Id="rId330" Type="http://schemas.openxmlformats.org/officeDocument/2006/relationships/hyperlink" Target="http://pic.twitter.com/vQcEWWHmpJ" TargetMode="External"/><Relationship Id="rId568" Type="http://schemas.openxmlformats.org/officeDocument/2006/relationships/hyperlink" Target="https://pbs.twimg.com/media/Dsp3I7zVAAYG405.jpg" TargetMode="External"/><Relationship Id="rId775" Type="http://schemas.openxmlformats.org/officeDocument/2006/relationships/hyperlink" Target="http://pic.twitter.com/tkGmJ8Sgk4" TargetMode="External"/><Relationship Id="rId982" Type="http://schemas.openxmlformats.org/officeDocument/2006/relationships/hyperlink" Target="https://extraconfidencial.com/noticias/marlaska-retira-parte-de-la-escolta-a-los-ex-ministros-de-interior-y-al-juez-llanera-que-se-quedan-solos-ante-los-cdr/" TargetMode="External"/><Relationship Id="rId1198" Type="http://schemas.openxmlformats.org/officeDocument/2006/relationships/hyperlink" Target="http://www.slaymultimedios.com/" TargetMode="External"/><Relationship Id="rId2011" Type="http://schemas.openxmlformats.org/officeDocument/2006/relationships/hyperlink" Target="https://pbs.twimg.com/media/DsiyCGSU4AA4JGx.jpg" TargetMode="External"/><Relationship Id="rId2249" Type="http://schemas.openxmlformats.org/officeDocument/2006/relationships/hyperlink" Target="https://www.elmundo.es/andalucia/2018/11/21/5bf46ba046163f4da28b4607.html" TargetMode="External"/><Relationship Id="rId2456" Type="http://schemas.openxmlformats.org/officeDocument/2006/relationships/hyperlink" Target="http://youtu.be/uAoujIJmba0?a" TargetMode="External"/><Relationship Id="rId2663" Type="http://schemas.openxmlformats.org/officeDocument/2006/relationships/hyperlink" Target="https://pbs.twimg.com/media/DsdzhlSW0AA2RMG.jpg" TargetMode="External"/><Relationship Id="rId2870" Type="http://schemas.openxmlformats.org/officeDocument/2006/relationships/hyperlink" Target="http://atres.red/jt8fe2" TargetMode="External"/><Relationship Id="rId428" Type="http://schemas.openxmlformats.org/officeDocument/2006/relationships/hyperlink" Target="http://futbolaragones.com/" TargetMode="External"/><Relationship Id="rId635" Type="http://schemas.openxmlformats.org/officeDocument/2006/relationships/hyperlink" Target="https://www.eldiario.es/rastreador/Hermann-Tertsch-monarquia-Pablo-Iglesias_6_838576136.html" TargetMode="External"/><Relationship Id="rId842" Type="http://schemas.openxmlformats.org/officeDocument/2006/relationships/hyperlink" Target="https://pbs.twimg.com/media/DsoFPE0UUAACfsR.jpg" TargetMode="External"/><Relationship Id="rId1058" Type="http://schemas.openxmlformats.org/officeDocument/2006/relationships/hyperlink" Target="http://iernesto.blogspot.com/" TargetMode="External"/><Relationship Id="rId1265" Type="http://schemas.openxmlformats.org/officeDocument/2006/relationships/hyperlink" Target="https://elpais.com/elpais/2018/11/21/opinion/1542806031_921444.html" TargetMode="External"/><Relationship Id="rId1472" Type="http://schemas.openxmlformats.org/officeDocument/2006/relationships/hyperlink" Target="https://elpais.com/elpais/2018/11/21/opinion/1542806031_921444.html" TargetMode="External"/><Relationship Id="rId2109" Type="http://schemas.openxmlformats.org/officeDocument/2006/relationships/hyperlink" Target="http://insurgente.org/" TargetMode="External"/><Relationship Id="rId2316" Type="http://schemas.openxmlformats.org/officeDocument/2006/relationships/hyperlink" Target="https://www.elmundo.es/andalucia/2018/11/21/5bf46ba046163f4da28b4607.html" TargetMode="External"/><Relationship Id="rId2523" Type="http://schemas.openxmlformats.org/officeDocument/2006/relationships/hyperlink" Target="https://www.elmundo.es/espana/2018/11/20/5bf407ae46163f14b08b460e.html" TargetMode="External"/><Relationship Id="rId2730" Type="http://schemas.openxmlformats.org/officeDocument/2006/relationships/hyperlink" Target="https://elpais.com/politica/2018/11/14/actualidad/1542191299_860667.html?id_externo_rsoc=TW_CC" TargetMode="External"/><Relationship Id="rId2968" Type="http://schemas.openxmlformats.org/officeDocument/2006/relationships/hyperlink" Target="http://pic.twitter.com/Hyzv8mgxoH" TargetMode="External"/><Relationship Id="rId702" Type="http://schemas.openxmlformats.org/officeDocument/2006/relationships/hyperlink" Target="http://pic.twitter.com/br0vFbaaUx" TargetMode="External"/><Relationship Id="rId1125" Type="http://schemas.openxmlformats.org/officeDocument/2006/relationships/hyperlink" Target="https://elpais.com/elpais/2018/11/21/opinion/1542806031_921444.html" TargetMode="External"/><Relationship Id="rId1332" Type="http://schemas.openxmlformats.org/officeDocument/2006/relationships/hyperlink" Target="http://www.grancanariatv.com/" TargetMode="External"/><Relationship Id="rId1777" Type="http://schemas.openxmlformats.org/officeDocument/2006/relationships/hyperlink" Target="https://contrainformacion.es/pablo-iglesias-seria-sensato-hacer-elecciones/" TargetMode="External"/><Relationship Id="rId1984" Type="http://schemas.openxmlformats.org/officeDocument/2006/relationships/hyperlink" Target="http://pic.twitter.com/km5TOObUUN" TargetMode="External"/><Relationship Id="rId2828" Type="http://schemas.openxmlformats.org/officeDocument/2006/relationships/hyperlink" Target="http://youtu.be/c-hfo_gOL6Q?a" TargetMode="External"/><Relationship Id="rId69" Type="http://schemas.openxmlformats.org/officeDocument/2006/relationships/hyperlink" Target="https://ift.tt/2DRs9pj" TargetMode="External"/><Relationship Id="rId1637" Type="http://schemas.openxmlformats.org/officeDocument/2006/relationships/hyperlink" Target="https://elpais.com/elpais/2018/11/21/opinion/1542806031_921444.html" TargetMode="External"/><Relationship Id="rId1844" Type="http://schemas.openxmlformats.org/officeDocument/2006/relationships/hyperlink" Target="http://www.bitmomentum.com/" TargetMode="External"/><Relationship Id="rId1704" Type="http://schemas.openxmlformats.org/officeDocument/2006/relationships/hyperlink" Target="https://elpais.com/elpais/2018/11/21/opinion/1542806031_921444.html?id_externo_rsoc=TW_CC" TargetMode="External"/><Relationship Id="rId285" Type="http://schemas.openxmlformats.org/officeDocument/2006/relationships/hyperlink" Target="https://ift.tt/2R7IVDL" TargetMode="External"/><Relationship Id="rId1911" Type="http://schemas.openxmlformats.org/officeDocument/2006/relationships/hyperlink" Target="https://pbs.twimg.com/media/DsiSsESXgAEsE_7.jpg" TargetMode="External"/><Relationship Id="rId492" Type="http://schemas.openxmlformats.org/officeDocument/2006/relationships/hyperlink" Target="http://www.hoyporhoy.es/" TargetMode="External"/><Relationship Id="rId797" Type="http://schemas.openxmlformats.org/officeDocument/2006/relationships/hyperlink" Target="https://elpais.com/elpais/2018/11/21/opinion/1542806031_921444.html" TargetMode="External"/><Relationship Id="rId2173" Type="http://schemas.openxmlformats.org/officeDocument/2006/relationships/hyperlink" Target="https://pbs.twimg.com/media/DshskFgXgAAxOop.jpg" TargetMode="External"/><Relationship Id="rId2380" Type="http://schemas.openxmlformats.org/officeDocument/2006/relationships/hyperlink" Target="http://www.ugt.es/" TargetMode="External"/><Relationship Id="rId2478" Type="http://schemas.openxmlformats.org/officeDocument/2006/relationships/hyperlink" Target="http://dlvr.it/QrkCJC" TargetMode="External"/><Relationship Id="rId145" Type="http://schemas.openxmlformats.org/officeDocument/2006/relationships/hyperlink" Target="https://www.rafamorata.es/" TargetMode="External"/><Relationship Id="rId352" Type="http://schemas.openxmlformats.org/officeDocument/2006/relationships/hyperlink" Target="https://elpais.com/elpais/2018/11/21/opinion/1542806031_921444.html?id_externo_rsoc=TW_CC" TargetMode="External"/><Relationship Id="rId1287" Type="http://schemas.openxmlformats.org/officeDocument/2006/relationships/hyperlink" Target="https://elpais.com/elpais/2018/11/21/opinion/1542806031_921444.html" TargetMode="External"/><Relationship Id="rId2033" Type="http://schemas.openxmlformats.org/officeDocument/2006/relationships/hyperlink" Target="https://okdiario.com/espana/2018/11/12/asi-miente-pablo-iglesias-cuando-juez-llama-puta-irene-montero-monta-escandalo-3336480" TargetMode="External"/><Relationship Id="rId2240" Type="http://schemas.openxmlformats.org/officeDocument/2006/relationships/hyperlink" Target="https://bit.ly/2PtmWdD" TargetMode="External"/><Relationship Id="rId2685" Type="http://schemas.openxmlformats.org/officeDocument/2006/relationships/hyperlink" Target="http://www.masby.net/informacion-web.html" TargetMode="External"/><Relationship Id="rId2892" Type="http://schemas.openxmlformats.org/officeDocument/2006/relationships/hyperlink" Target="http://podemos.info/" TargetMode="External"/><Relationship Id="rId212" Type="http://schemas.openxmlformats.org/officeDocument/2006/relationships/hyperlink" Target="https://pbs.twimg.com/media/DsrukrEXQAEgd18.jpg" TargetMode="External"/><Relationship Id="rId657" Type="http://schemas.openxmlformats.org/officeDocument/2006/relationships/hyperlink" Target="http://pedrolarrauricandidatoupydvigo.blogspot.com/" TargetMode="External"/><Relationship Id="rId864" Type="http://schemas.openxmlformats.org/officeDocument/2006/relationships/hyperlink" Target="https://elpais.com/elpais/2018/11/21/opinion/1542806031_921444.html?id_externo_rsoc=TW_CC" TargetMode="External"/><Relationship Id="rId1494" Type="http://schemas.openxmlformats.org/officeDocument/2006/relationships/hyperlink" Target="https://elpais.com/elpais/2018/11/21/opinion/1542806031_921444.html" TargetMode="External"/><Relationship Id="rId1799" Type="http://schemas.openxmlformats.org/officeDocument/2006/relationships/hyperlink" Target="https://pbs.twimg.com/media/DskIqwMWsAArpbG.jpg" TargetMode="External"/><Relationship Id="rId2100" Type="http://schemas.openxmlformats.org/officeDocument/2006/relationships/hyperlink" Target="https://pbs.twimg.com/media/DsiDwW7U4AEuJIq.jpg" TargetMode="External"/><Relationship Id="rId2338" Type="http://schemas.openxmlformats.org/officeDocument/2006/relationships/hyperlink" Target="https://twitter.com/LuisErnestoGL/status/1064988223989051393" TargetMode="External"/><Relationship Id="rId2545" Type="http://schemas.openxmlformats.org/officeDocument/2006/relationships/hyperlink" Target="http://page.is/aguilera-p-francisc" TargetMode="External"/><Relationship Id="rId2752" Type="http://schemas.openxmlformats.org/officeDocument/2006/relationships/hyperlink" Target="https://www.facebook.com/pablo.echenique/" TargetMode="External"/><Relationship Id="rId517" Type="http://schemas.openxmlformats.org/officeDocument/2006/relationships/hyperlink" Target="https://pbs.twimg.com/media/Dsl601oXgAIT8Kw.jpg" TargetMode="External"/><Relationship Id="rId724" Type="http://schemas.openxmlformats.org/officeDocument/2006/relationships/hyperlink" Target="https://elpais.com/elpais/2018/11/21/opinion/1542806031_921444.html?id_externo_rsoc=TW_CC" TargetMode="External"/><Relationship Id="rId931" Type="http://schemas.openxmlformats.org/officeDocument/2006/relationships/hyperlink" Target="http://civismo.org/" TargetMode="External"/><Relationship Id="rId1147" Type="http://schemas.openxmlformats.org/officeDocument/2006/relationships/hyperlink" Target="https://elpais.com/elpais/2018/11/21/opinion/1542806031_921444.html?id_externo_rsoc=TW_CC" TargetMode="External"/><Relationship Id="rId1354" Type="http://schemas.openxmlformats.org/officeDocument/2006/relationships/hyperlink" Target="http://verdaderaizquierda.blogspot.com/" TargetMode="External"/><Relationship Id="rId1561" Type="http://schemas.openxmlformats.org/officeDocument/2006/relationships/hyperlink" Target="https://elpais.com/elpais/2018/11/21/opinion/1542806031_921444.html?id_externo_rsoc=TW_CC" TargetMode="External"/><Relationship Id="rId2405" Type="http://schemas.openxmlformats.org/officeDocument/2006/relationships/hyperlink" Target="http://youtu.be/nHodn42YiJw?a" TargetMode="External"/><Relationship Id="rId2612" Type="http://schemas.openxmlformats.org/officeDocument/2006/relationships/hyperlink" Target="https://www.periodistadigital.com/politica/partidos-politicos/2018/11/20/las-memeces-de-un-caradura-llamado-pablo-iglesias.shtml" TargetMode="External"/><Relationship Id="rId60" Type="http://schemas.openxmlformats.org/officeDocument/2006/relationships/hyperlink" Target="https://pbs.twimg.com/media/DssPoLwX4AAJmu6.jpg" TargetMode="External"/><Relationship Id="rId1007" Type="http://schemas.openxmlformats.org/officeDocument/2006/relationships/hyperlink" Target="http://youtu.be/kFH5l3IF8sk?a" TargetMode="External"/><Relationship Id="rId1214" Type="http://schemas.openxmlformats.org/officeDocument/2006/relationships/hyperlink" Target="https://mundo.sputniknews.com/" TargetMode="External"/><Relationship Id="rId1421" Type="http://schemas.openxmlformats.org/officeDocument/2006/relationships/hyperlink" Target="https://elpais.com/elpais/2018/11/21/opinion/1542806031_921444.html" TargetMode="External"/><Relationship Id="rId1659" Type="http://schemas.openxmlformats.org/officeDocument/2006/relationships/hyperlink" Target="https://elpais.com/elpais/2018/11/21/opinion/1542806031_921444.html?id_externo_rsoc=TW_CC" TargetMode="External"/><Relationship Id="rId1866" Type="http://schemas.openxmlformats.org/officeDocument/2006/relationships/hyperlink" Target="https://twitter.com/qbientanmal/status/1038525730840358913" TargetMode="External"/><Relationship Id="rId2917" Type="http://schemas.openxmlformats.org/officeDocument/2006/relationships/hyperlink" Target="http://atres.red/g7a2u2" TargetMode="External"/><Relationship Id="rId1519" Type="http://schemas.openxmlformats.org/officeDocument/2006/relationships/hyperlink" Target="http://www.caue-nascimento.blogspot.com/" TargetMode="External"/><Relationship Id="rId1726" Type="http://schemas.openxmlformats.org/officeDocument/2006/relationships/hyperlink" Target="https://elpais.com/elpais/2018/11/21/opinion/1542806031_921444.html" TargetMode="External"/><Relationship Id="rId1933" Type="http://schemas.openxmlformats.org/officeDocument/2006/relationships/hyperlink" Target="http://instagram.com/kikevlc79" TargetMode="External"/><Relationship Id="rId18" Type="http://schemas.openxmlformats.org/officeDocument/2006/relationships/hyperlink" Target="https://pbs.twimg.com/media/DsseLWHXQAEXXrP.jpg" TargetMode="External"/><Relationship Id="rId2195" Type="http://schemas.openxmlformats.org/officeDocument/2006/relationships/hyperlink" Target="http://pic.twitter.com/gN8jugyfud" TargetMode="External"/><Relationship Id="rId167" Type="http://schemas.openxmlformats.org/officeDocument/2006/relationships/hyperlink" Target="http://abc.es/" TargetMode="External"/><Relationship Id="rId374" Type="http://schemas.openxmlformats.org/officeDocument/2006/relationships/hyperlink" Target="http://www.teleprensa.com/" TargetMode="External"/><Relationship Id="rId581" Type="http://schemas.openxmlformats.org/officeDocument/2006/relationships/hyperlink" Target="https://www.libertaddigital.com/opinion/emilio-campmany/monarquia-para-que-86551/" TargetMode="External"/><Relationship Id="rId2055" Type="http://schemas.openxmlformats.org/officeDocument/2006/relationships/hyperlink" Target="http://www.publico.es/" TargetMode="External"/><Relationship Id="rId2262" Type="http://schemas.openxmlformats.org/officeDocument/2006/relationships/hyperlink" Target="http://www.advan-40.es/inmueble-7302403/municipio-Almeria/piso-en-avenida-pablo-iglesias.aspx" TargetMode="External"/><Relationship Id="rId234" Type="http://schemas.openxmlformats.org/officeDocument/2006/relationships/hyperlink" Target="https://www.huffingtonpost.es/leon-fernando-del-canto-/narrar-la-vida-como-un-viaje_a_22012292/?ncid" TargetMode="External"/><Relationship Id="rId679" Type="http://schemas.openxmlformats.org/officeDocument/2006/relationships/hyperlink" Target="http://www.elcheclubdefutbolsad.com/" TargetMode="External"/><Relationship Id="rId886" Type="http://schemas.openxmlformats.org/officeDocument/2006/relationships/hyperlink" Target="http://pic.twitter.com/aF5gK2acgc" TargetMode="External"/><Relationship Id="rId2567" Type="http://schemas.openxmlformats.org/officeDocument/2006/relationships/hyperlink" Target="https://twitter.com/markuslevel/status/1064928729674276865" TargetMode="External"/><Relationship Id="rId2774" Type="http://schemas.openxmlformats.org/officeDocument/2006/relationships/hyperlink" Target="https://youtu.be/nyKcBUxQ7Ww" TargetMode="External"/><Relationship Id="rId2" Type="http://schemas.openxmlformats.org/officeDocument/2006/relationships/hyperlink" Target="https://www.facebook.com/victoriandres" TargetMode="External"/><Relationship Id="rId441" Type="http://schemas.openxmlformats.org/officeDocument/2006/relationships/hyperlink" Target="https://pbs.twimg.com/media/Dsno7GxW0AAp7G7.jpg" TargetMode="External"/><Relationship Id="rId539" Type="http://schemas.openxmlformats.org/officeDocument/2006/relationships/hyperlink" Target="https://elpais.com/elpais/2018/11/21/opinion/1542806031_921444.html?id_externo_rsoc=TW_CC" TargetMode="External"/><Relationship Id="rId746" Type="http://schemas.openxmlformats.org/officeDocument/2006/relationships/hyperlink" Target="https://youtu.be/m66j1JQzVT0" TargetMode="External"/><Relationship Id="rId1071" Type="http://schemas.openxmlformats.org/officeDocument/2006/relationships/hyperlink" Target="https://elpais.com/elpais/2018/11/21/opinion/1542806031_921444.html?id_externo_rsoc=TW_CC" TargetMode="External"/><Relationship Id="rId1169" Type="http://schemas.openxmlformats.org/officeDocument/2006/relationships/hyperlink" Target="https://twitter.com/carmenbernalhe2/status/1065535375618256897" TargetMode="External"/><Relationship Id="rId1376" Type="http://schemas.openxmlformats.org/officeDocument/2006/relationships/hyperlink" Target="http://www.legalessinfronteras.com/" TargetMode="External"/><Relationship Id="rId1583" Type="http://schemas.openxmlformats.org/officeDocument/2006/relationships/hyperlink" Target="https://elpais.com/elpais/2018/11/21/opinion/1542806031_921444.html?id_externo_rsoc=TW_CC" TargetMode="External"/><Relationship Id="rId2122" Type="http://schemas.openxmlformats.org/officeDocument/2006/relationships/hyperlink" Target="https://curiouscat.me/Naruhodomitsu" TargetMode="External"/><Relationship Id="rId2427" Type="http://schemas.openxmlformats.org/officeDocument/2006/relationships/hyperlink" Target="https://www.periodistadigital.com/periodismo/tv/2018/11/20/pedro-sanchez-pablo-iglesias-presupuestos-elecciones-ferreras-gobierno.shtml" TargetMode="External"/><Relationship Id="rId2981" Type="http://schemas.openxmlformats.org/officeDocument/2006/relationships/hyperlink" Target="https://pbs.twimg.com/media/DsckEyCWsAA6yzQ.jpg" TargetMode="External"/><Relationship Id="rId301" Type="http://schemas.openxmlformats.org/officeDocument/2006/relationships/hyperlink" Target="https://pbs.twimg.com/media/Dsrhu-IWsAEG19k.jpg" TargetMode="External"/><Relationship Id="rId953" Type="http://schemas.openxmlformats.org/officeDocument/2006/relationships/hyperlink" Target="http://cambiemosmurcia.org/" TargetMode="External"/><Relationship Id="rId1029" Type="http://schemas.openxmlformats.org/officeDocument/2006/relationships/hyperlink" Target="https://pbs.twimg.com/media/Dsna9gRXcAAYbUJ.jpg" TargetMode="External"/><Relationship Id="rId1236" Type="http://schemas.openxmlformats.org/officeDocument/2006/relationships/hyperlink" Target="https://elpais.com/elpais/2018/11/21/opinion/1542806031_921444.html?id_externo_rsoc=TW_CC" TargetMode="External"/><Relationship Id="rId1790" Type="http://schemas.openxmlformats.org/officeDocument/2006/relationships/hyperlink" Target="https://www.elmundo.es/espana/2018/11/21/5bf460b5268e3e0c458b4617.html" TargetMode="External"/><Relationship Id="rId1888" Type="http://schemas.openxmlformats.org/officeDocument/2006/relationships/hyperlink" Target="https://pbs.twimg.com/media/DsjZ1QpXQAIuoNz.jpg" TargetMode="External"/><Relationship Id="rId2634" Type="http://schemas.openxmlformats.org/officeDocument/2006/relationships/hyperlink" Target="http://www.periodistadigital.com/politica/partidos-politicos/2018/11/20/las-memeces-de-un-caradura-llamado-pablo-iglesias.shtml" TargetMode="External"/><Relationship Id="rId2841" Type="http://schemas.openxmlformats.org/officeDocument/2006/relationships/hyperlink" Target="http://www.noticierouniversal.com/" TargetMode="External"/><Relationship Id="rId2939" Type="http://schemas.openxmlformats.org/officeDocument/2006/relationships/hyperlink" Target="https://pbs.twimg.com/media/Dscos71WoAAhb87.jpg" TargetMode="External"/><Relationship Id="rId82" Type="http://schemas.openxmlformats.org/officeDocument/2006/relationships/hyperlink" Target="https://pbs.twimg.com/media/DssLGqjV4AASVX5.jpg" TargetMode="External"/><Relationship Id="rId606" Type="http://schemas.openxmlformats.org/officeDocument/2006/relationships/hyperlink" Target="https://pbs.twimg.com/media/DspLu2EXgAEjqPf.jpg" TargetMode="External"/><Relationship Id="rId813" Type="http://schemas.openxmlformats.org/officeDocument/2006/relationships/hyperlink" Target="https://pbs.twimg.com/media/DsoL47YU4AAHPi4.jpg" TargetMode="External"/><Relationship Id="rId1443" Type="http://schemas.openxmlformats.org/officeDocument/2006/relationships/hyperlink" Target="https://pbs.twimg.com/media/DsmK_qZXgAAnCKN.jpg" TargetMode="External"/><Relationship Id="rId1650" Type="http://schemas.openxmlformats.org/officeDocument/2006/relationships/hyperlink" Target="https://elpais.com/elpais/2018/11/21/opinion/1542806031_921444.html" TargetMode="External"/><Relationship Id="rId1748" Type="http://schemas.openxmlformats.org/officeDocument/2006/relationships/hyperlink" Target="https://www.elmundo.es/andalucia/2018/11/21/5bf46ba046163f4da28b4607.html" TargetMode="External"/><Relationship Id="rId2701" Type="http://schemas.openxmlformats.org/officeDocument/2006/relationships/hyperlink" Target="https://www.msn.com/es-es/noticias/espana/pablo-iglesias-pasa-la-acci%C3%B3n-contra-pedro-s%C3%A1nchez-afea-sus-viajes-y-censura-su-inacci%C3%B3n-en-espa%C3%B1a/ar-BBPULxB?li=BBpmbhJ&amp;ocid=mailsignout" TargetMode="External"/><Relationship Id="rId1303" Type="http://schemas.openxmlformats.org/officeDocument/2006/relationships/hyperlink" Target="https://pbs.twimg.com/media/DslubFQXQAAofAn.jpg" TargetMode="External"/><Relationship Id="rId1510" Type="http://schemas.openxmlformats.org/officeDocument/2006/relationships/hyperlink" Target="https://pbs.twimg.com/media/DsmF2DwWkAA9lfN.jpg" TargetMode="External"/><Relationship Id="rId1955" Type="http://schemas.openxmlformats.org/officeDocument/2006/relationships/hyperlink" Target="https://www.theguardian.com/world/ng-interactive/2018/nov/21/how-populist-are-you-quiz" TargetMode="External"/><Relationship Id="rId1608" Type="http://schemas.openxmlformats.org/officeDocument/2006/relationships/hyperlink" Target="https://elpais.com/elpais/2018/11/21/opinion/1542806031_921444.amp.html" TargetMode="External"/><Relationship Id="rId1815" Type="http://schemas.openxmlformats.org/officeDocument/2006/relationships/hyperlink" Target="https://www.elespanol.com/social/20160722/141985976_0.html" TargetMode="External"/><Relationship Id="rId189" Type="http://schemas.openxmlformats.org/officeDocument/2006/relationships/hyperlink" Target="https://www.facebook.com/elforolc/" TargetMode="External"/><Relationship Id="rId396" Type="http://schemas.openxmlformats.org/officeDocument/2006/relationships/hyperlink" Target="http://cuartopoder.es/" TargetMode="External"/><Relationship Id="rId2077" Type="http://schemas.openxmlformats.org/officeDocument/2006/relationships/hyperlink" Target="http://bit.ly/2mttbgH" TargetMode="External"/><Relationship Id="rId2284" Type="http://schemas.openxmlformats.org/officeDocument/2006/relationships/hyperlink" Target="https://pbs.twimg.com/media/DshLTI-WoAAJbSU.jpg" TargetMode="External"/><Relationship Id="rId2491" Type="http://schemas.openxmlformats.org/officeDocument/2006/relationships/hyperlink" Target="https://pbs.twimg.com/media/Dse19mrWwAAlTaL.jpg" TargetMode="External"/><Relationship Id="rId256" Type="http://schemas.openxmlformats.org/officeDocument/2006/relationships/hyperlink" Target="https://elpais.com/elpais/2018/11/21/opinion/1542806031_921444.html" TargetMode="External"/><Relationship Id="rId463" Type="http://schemas.openxmlformats.org/officeDocument/2006/relationships/hyperlink" Target="http://cadenaser.com/programa/2018/11/22/hoy_por_hoy/1542900365_285470.html" TargetMode="External"/><Relationship Id="rId670" Type="http://schemas.openxmlformats.org/officeDocument/2006/relationships/hyperlink" Target="https://pbs.twimg.com/media/Dsn1IhTXQAAbinP.jpg" TargetMode="External"/><Relationship Id="rId1093" Type="http://schemas.openxmlformats.org/officeDocument/2006/relationships/hyperlink" Target="https://www.lasvocesdelpueblo.com/podemos-romperemos-en-pedazos-el-discurso-de-vox-pablo-iglesias-sera-presidente-de-gobierno/?fbclid=IwAR1cMsIz4END5f61IfXLnO8J8XA-cR1ULsfPgS9vusd-u-fU_P_0nBpyWPw" TargetMode="External"/><Relationship Id="rId2144" Type="http://schemas.openxmlformats.org/officeDocument/2006/relationships/hyperlink" Target="https://pbs.twimg.com/media/Dshzd3DW0AAhhsu.jpg" TargetMode="External"/><Relationship Id="rId2351" Type="http://schemas.openxmlformats.org/officeDocument/2006/relationships/hyperlink" Target="https://profiles.google.com/abelfranc" TargetMode="External"/><Relationship Id="rId2589" Type="http://schemas.openxmlformats.org/officeDocument/2006/relationships/hyperlink" Target="https://youtu.be/LsX38asmDmU" TargetMode="External"/><Relationship Id="rId2796" Type="http://schemas.openxmlformats.org/officeDocument/2006/relationships/hyperlink" Target="https://pbs.twimg.com/media/DsdQ87mWoAAarnZ.jpg" TargetMode="External"/><Relationship Id="rId116" Type="http://schemas.openxmlformats.org/officeDocument/2006/relationships/hyperlink" Target="http://www.trecetv.es/programas/el-cascabel" TargetMode="External"/><Relationship Id="rId323" Type="http://schemas.openxmlformats.org/officeDocument/2006/relationships/hyperlink" Target="http://atres.red/4ncii5728" TargetMode="External"/><Relationship Id="rId530" Type="http://schemas.openxmlformats.org/officeDocument/2006/relationships/hyperlink" Target="http://www.izquierdadiario.es/" TargetMode="External"/><Relationship Id="rId768" Type="http://schemas.openxmlformats.org/officeDocument/2006/relationships/hyperlink" Target="https://twitter.com/ANNAGONZALEZLO1/status/1065633366194688000" TargetMode="External"/><Relationship Id="rId975" Type="http://schemas.openxmlformats.org/officeDocument/2006/relationships/hyperlink" Target="https://twitter.com/jitorreblanca/status/1065620157656109058" TargetMode="External"/><Relationship Id="rId1160" Type="http://schemas.openxmlformats.org/officeDocument/2006/relationships/hyperlink" Target="https://elpais.com/elpais/2018/11/21/opinion/1542806031_921444.html" TargetMode="External"/><Relationship Id="rId1398" Type="http://schemas.openxmlformats.org/officeDocument/2006/relationships/hyperlink" Target="http://www.kilometr0.es/" TargetMode="External"/><Relationship Id="rId2004" Type="http://schemas.openxmlformats.org/officeDocument/2006/relationships/hyperlink" Target="https://twitter.com/mlalanda/status/1065167563305431041" TargetMode="External"/><Relationship Id="rId2211" Type="http://schemas.openxmlformats.org/officeDocument/2006/relationships/hyperlink" Target="https://www.elconfidencial.com/espana/2016-04-04/financiacion-ilegal-podemos-venezuela-pago-millones-pablo-iglesias-juan-carlos-monedero-jorge-vestrynge_1178845/?utm_source=facebook&amp;utm_medium=social&amp;utm_campaign=BotoneraWeb" TargetMode="External"/><Relationship Id="rId2449" Type="http://schemas.openxmlformats.org/officeDocument/2006/relationships/hyperlink" Target="https://twitter.com/abrahamendieta/status/1064255172044455936" TargetMode="External"/><Relationship Id="rId2656" Type="http://schemas.openxmlformats.org/officeDocument/2006/relationships/hyperlink" Target="https://www.facebook.com/juanjose.sanchezsoto.1" TargetMode="External"/><Relationship Id="rId2863" Type="http://schemas.openxmlformats.org/officeDocument/2006/relationships/hyperlink" Target="https://www.youtube.com/channel/UC2OPRvShCwMeO__KHVyPl9w?sub_confirmation=1" TargetMode="External"/><Relationship Id="rId628" Type="http://schemas.openxmlformats.org/officeDocument/2006/relationships/hyperlink" Target="https://pbs.twimg.com/media/DspDvpWU0AAsKy3.jpg" TargetMode="External"/><Relationship Id="rId835" Type="http://schemas.openxmlformats.org/officeDocument/2006/relationships/hyperlink" Target="https://pbs.twimg.com/media/DsoG3d5WkAcbkkc.jpg" TargetMode="External"/><Relationship Id="rId1258" Type="http://schemas.openxmlformats.org/officeDocument/2006/relationships/hyperlink" Target="https://elpais.com/elpais/2018/11/21/opinion/1542806031_921444.html?id_externo_rsoc=TW_CC" TargetMode="External"/><Relationship Id="rId1465" Type="http://schemas.openxmlformats.org/officeDocument/2006/relationships/hyperlink" Target="https://pbs.twimg.com/media/DsmJ4OhWwAEdr5q.jpg" TargetMode="External"/><Relationship Id="rId1672" Type="http://schemas.openxmlformats.org/officeDocument/2006/relationships/hyperlink" Target="https://pbs.twimg.com/media/Dsly0JOWsAErjQb.jpg" TargetMode="External"/><Relationship Id="rId2309" Type="http://schemas.openxmlformats.org/officeDocument/2006/relationships/hyperlink" Target="http://podemos.info/" TargetMode="External"/><Relationship Id="rId2516" Type="http://schemas.openxmlformats.org/officeDocument/2006/relationships/hyperlink" Target="https://www.periodistadigital.com/politica/partidos-politicos/2018/11/20/las-memeces-de-un-caradura-llamado-pablo-iglesias.shtml" TargetMode="External"/><Relationship Id="rId2723" Type="http://schemas.openxmlformats.org/officeDocument/2006/relationships/hyperlink" Target="https://www.facebook.com/lacorruptecapublica/?ref=settings" TargetMode="External"/><Relationship Id="rId1020" Type="http://schemas.openxmlformats.org/officeDocument/2006/relationships/hyperlink" Target="https://elpais.com/elpais/2018/11/21/opinion/1542806031_921444.html" TargetMode="External"/><Relationship Id="rId1118" Type="http://schemas.openxmlformats.org/officeDocument/2006/relationships/hyperlink" Target="https://elpais.com/elpais/2018/11/21/opinion/1542806031_921444.html?id_externo_rsoc=TW_CC" TargetMode="External"/><Relationship Id="rId1325" Type="http://schemas.openxmlformats.org/officeDocument/2006/relationships/hyperlink" Target="https://plus.google.com/u/0/114788824377933101417" TargetMode="External"/><Relationship Id="rId1532" Type="http://schemas.openxmlformats.org/officeDocument/2006/relationships/hyperlink" Target="https://elpais.com/elpais/2018/11/21/opinion/1542806031_921444.html" TargetMode="External"/><Relationship Id="rId1977" Type="http://schemas.openxmlformats.org/officeDocument/2006/relationships/hyperlink" Target="https://www.youtube.com/channel/UCzxgc4H0oHpD_o05R7wmEAA" TargetMode="External"/><Relationship Id="rId2930" Type="http://schemas.openxmlformats.org/officeDocument/2006/relationships/hyperlink" Target="http://www.elmundo.es/espana.html" TargetMode="External"/><Relationship Id="rId902" Type="http://schemas.openxmlformats.org/officeDocument/2006/relationships/hyperlink" Target="https://www.eldiario.es/_31fba808" TargetMode="External"/><Relationship Id="rId1837" Type="http://schemas.openxmlformats.org/officeDocument/2006/relationships/hyperlink" Target="https://www.celag.org/cuadernos-de-formacion/" TargetMode="External"/><Relationship Id="rId31" Type="http://schemas.openxmlformats.org/officeDocument/2006/relationships/hyperlink" Target="https://pbs.twimg.com/media/DssY5lLWsAEAHAv.jpg" TargetMode="External"/><Relationship Id="rId2099" Type="http://schemas.openxmlformats.org/officeDocument/2006/relationships/hyperlink" Target="http://dlvr.it/QrmcMZ" TargetMode="External"/><Relationship Id="rId180" Type="http://schemas.openxmlformats.org/officeDocument/2006/relationships/hyperlink" Target="https://www.eldiario.es/_32001507" TargetMode="External"/><Relationship Id="rId278" Type="http://schemas.openxmlformats.org/officeDocument/2006/relationships/hyperlink" Target="http://www.greenekko.es/" TargetMode="External"/><Relationship Id="rId1904" Type="http://schemas.openxmlformats.org/officeDocument/2006/relationships/hyperlink" Target="http://pic.twitter.com/GgCUe2dRsR" TargetMode="External"/><Relationship Id="rId485" Type="http://schemas.openxmlformats.org/officeDocument/2006/relationships/hyperlink" Target="https://twitter.com/4ever_frog/status/1065169184047419392" TargetMode="External"/><Relationship Id="rId692" Type="http://schemas.openxmlformats.org/officeDocument/2006/relationships/hyperlink" Target="https://elcomunista.net/2018/11/22/pablo-iglesias-pide-una-nueva-republica-como-garantia-para-una-espana-unida/" TargetMode="External"/><Relationship Id="rId2166" Type="http://schemas.openxmlformats.org/officeDocument/2006/relationships/hyperlink" Target="http://www.kaosenlared.net/" TargetMode="External"/><Relationship Id="rId2373" Type="http://schemas.openxmlformats.org/officeDocument/2006/relationships/hyperlink" Target="https://www.elmundo.es/andalucia/2018/11/21/5bf46ba046163f4da28b4607.html" TargetMode="External"/><Relationship Id="rId2580" Type="http://schemas.openxmlformats.org/officeDocument/2006/relationships/hyperlink" Target="https://twitter.com/vivoenunbot" TargetMode="External"/><Relationship Id="rId138" Type="http://schemas.openxmlformats.org/officeDocument/2006/relationships/hyperlink" Target="http://www.madriddigital24horas.com/" TargetMode="External"/><Relationship Id="rId345" Type="http://schemas.openxmlformats.org/officeDocument/2006/relationships/hyperlink" Target="http://bruselense.wordpress.com/" TargetMode="External"/><Relationship Id="rId552" Type="http://schemas.openxmlformats.org/officeDocument/2006/relationships/hyperlink" Target="https://pbs.twimg.com/media/DsqYsuFX4AAf8i8.jpg" TargetMode="External"/><Relationship Id="rId997" Type="http://schemas.openxmlformats.org/officeDocument/2006/relationships/hyperlink" Target="http://blogs.elpais.com/contrapuntos/" TargetMode="External"/><Relationship Id="rId1182" Type="http://schemas.openxmlformats.org/officeDocument/2006/relationships/hyperlink" Target="https://www.periodistadigital.com/periodismo/prensa/2018/11/22/elpais-esconde-articulo-pablo-iglesias-para-masacrar-felipe-vi-hacerle-guino-golpistas.shtml" TargetMode="External"/><Relationship Id="rId2026" Type="http://schemas.openxmlformats.org/officeDocument/2006/relationships/hyperlink" Target="https://www.instagram.com/eternodiecisiete/" TargetMode="External"/><Relationship Id="rId2233" Type="http://schemas.openxmlformats.org/officeDocument/2006/relationships/hyperlink" Target="http://www.caongd.org/" TargetMode="External"/><Relationship Id="rId2440" Type="http://schemas.openxmlformats.org/officeDocument/2006/relationships/hyperlink" Target="https://www.diarioderivas.es/cruce-peligroso-pablo-iglesias-rivas-atropellos/" TargetMode="External"/><Relationship Id="rId2678" Type="http://schemas.openxmlformats.org/officeDocument/2006/relationships/hyperlink" Target="http://www.celag.org/" TargetMode="External"/><Relationship Id="rId2885" Type="http://schemas.openxmlformats.org/officeDocument/2006/relationships/hyperlink" Target="https://www.catarata.org/evento/madrid-juan-carlos-monedero-presenta-la-izquierda-que-salto-el-algoritmo/" TargetMode="External"/><Relationship Id="rId205" Type="http://schemas.openxmlformats.org/officeDocument/2006/relationships/hyperlink" Target="http://www.lasexta.com/noticias/" TargetMode="External"/><Relationship Id="rId412" Type="http://schemas.openxmlformats.org/officeDocument/2006/relationships/hyperlink" Target="http://www.frenoaltiempo.com/" TargetMode="External"/><Relationship Id="rId857" Type="http://schemas.openxmlformats.org/officeDocument/2006/relationships/hyperlink" Target="http://paramicrobio.blogspot.com/" TargetMode="External"/><Relationship Id="rId1042" Type="http://schemas.openxmlformats.org/officeDocument/2006/relationships/hyperlink" Target="https://www.instagram.com/rosamartinpalacios" TargetMode="External"/><Relationship Id="rId1487" Type="http://schemas.openxmlformats.org/officeDocument/2006/relationships/hyperlink" Target="https://catalunya.podemos.info/" TargetMode="External"/><Relationship Id="rId1694" Type="http://schemas.openxmlformats.org/officeDocument/2006/relationships/hyperlink" Target="http://www.instagram.com/xngelfurler" TargetMode="External"/><Relationship Id="rId2300" Type="http://schemas.openxmlformats.org/officeDocument/2006/relationships/hyperlink" Target="http://www.elconfidencial.com/" TargetMode="External"/><Relationship Id="rId2538" Type="http://schemas.openxmlformats.org/officeDocument/2006/relationships/hyperlink" Target="https://f7td5.app.goo.gl/6DhrA" TargetMode="External"/><Relationship Id="rId2745" Type="http://schemas.openxmlformats.org/officeDocument/2006/relationships/hyperlink" Target="http://atres.red/g7a2u6" TargetMode="External"/><Relationship Id="rId2952" Type="http://schemas.openxmlformats.org/officeDocument/2006/relationships/hyperlink" Target="http://www.lavozdeltajo.com/" TargetMode="External"/><Relationship Id="rId717" Type="http://schemas.openxmlformats.org/officeDocument/2006/relationships/hyperlink" Target="https://pbs.twimg.com/media/DsoEjetWwAAlttN.jpg" TargetMode="External"/><Relationship Id="rId924" Type="http://schemas.openxmlformats.org/officeDocument/2006/relationships/hyperlink" Target="https://twitter.com/seoane_pedro/status/1065643843784196097" TargetMode="External"/><Relationship Id="rId1347" Type="http://schemas.openxmlformats.org/officeDocument/2006/relationships/hyperlink" Target="https://swinger3000.deviantart.com/" TargetMode="External"/><Relationship Id="rId1554" Type="http://schemas.openxmlformats.org/officeDocument/2006/relationships/hyperlink" Target="https://alsoft27.blogspot.com/" TargetMode="External"/><Relationship Id="rId1761" Type="http://schemas.openxmlformats.org/officeDocument/2006/relationships/hyperlink" Target="http://www.cambio16.com/" TargetMode="External"/><Relationship Id="rId1999" Type="http://schemas.openxmlformats.org/officeDocument/2006/relationships/hyperlink" Target="https://twitter.com/jmangues/status/1065167371856424960" TargetMode="External"/><Relationship Id="rId2605" Type="http://schemas.openxmlformats.org/officeDocument/2006/relationships/hyperlink" Target="https://okdiario.com/espana/2018/11/20/pablo-iglesias-probable-que-tengamos-elecciones-muy-pronto-3371983" TargetMode="External"/><Relationship Id="rId2812" Type="http://schemas.openxmlformats.org/officeDocument/2006/relationships/hyperlink" Target="https://www.esdiario.com/863352693/Un-audio-robado-hunde-a-Pablo-Iglesias-cocteles-molotov-contra-la-Guardia-Civil.html?fbclid=IwAR2q6ARj-SaaDV8LskDgADzsaCBuXO02gTyNOfI2s73n2bL25f8liXC-0UI" TargetMode="External"/><Relationship Id="rId53" Type="http://schemas.openxmlformats.org/officeDocument/2006/relationships/hyperlink" Target="https://www.youtube.com/c/ElPeriodistaCamorrista" TargetMode="External"/><Relationship Id="rId1207" Type="http://schemas.openxmlformats.org/officeDocument/2006/relationships/hyperlink" Target="https://pbs.twimg.com/media/DsmyJ42WsAA8ife.jpg" TargetMode="External"/><Relationship Id="rId1414" Type="http://schemas.openxmlformats.org/officeDocument/2006/relationships/hyperlink" Target="https://elpais.com/elpais/2018/11/21/opinion/1542806031_921444.html" TargetMode="External"/><Relationship Id="rId1621" Type="http://schemas.openxmlformats.org/officeDocument/2006/relationships/hyperlink" Target="https://elpais.com/internacional/2018/11/21/actualidad/1542808308_180490.html" TargetMode="External"/><Relationship Id="rId1859" Type="http://schemas.openxmlformats.org/officeDocument/2006/relationships/hyperlink" Target="https://pbs.twimg.com/media/DsjlXGdXQAEQuop.jpg" TargetMode="External"/><Relationship Id="rId1719" Type="http://schemas.openxmlformats.org/officeDocument/2006/relationships/hyperlink" Target="http://www.plazadelcomercio.es/opticalia-donate/" TargetMode="External"/><Relationship Id="rId1926" Type="http://schemas.openxmlformats.org/officeDocument/2006/relationships/hyperlink" Target="http://blogjjredondela.blogspot.com/" TargetMode="External"/><Relationship Id="rId2090" Type="http://schemas.openxmlformats.org/officeDocument/2006/relationships/hyperlink" Target="https://www.elmundo.es/andalucia/2018/11/21/5bf46ba046163f4da28b4607.html" TargetMode="External"/><Relationship Id="rId2188" Type="http://schemas.openxmlformats.org/officeDocument/2006/relationships/hyperlink" Target="https://www.elmundo.es/andalucia/2018/11/21/5bf46ba046163f4da28b4607.html" TargetMode="External"/><Relationship Id="rId2395" Type="http://schemas.openxmlformats.org/officeDocument/2006/relationships/hyperlink" Target="https://amp.elmundo.es/espana/2018/11/20/5bf407ae46163f14b08b460e.html" TargetMode="External"/><Relationship Id="rId367" Type="http://schemas.openxmlformats.org/officeDocument/2006/relationships/hyperlink" Target="http://bit.ly/2PMOivn" TargetMode="External"/><Relationship Id="rId574" Type="http://schemas.openxmlformats.org/officeDocument/2006/relationships/hyperlink" Target="https://bit.ly/2OWvMeJ" TargetMode="External"/><Relationship Id="rId2048" Type="http://schemas.openxmlformats.org/officeDocument/2006/relationships/hyperlink" Target="http://mapadelterror.com/" TargetMode="External"/><Relationship Id="rId2255" Type="http://schemas.openxmlformats.org/officeDocument/2006/relationships/hyperlink" Target="https://www.elmundo.es/andalucia/2018/11/21/5bf46ba046163f4da28b4607.html" TargetMode="External"/><Relationship Id="rId227" Type="http://schemas.openxmlformats.org/officeDocument/2006/relationships/hyperlink" Target="https://www.europapress.es/nacional/noticia-pablo-iglesias-asegura-no-apoyara-pedro-sanchez-patrioterismos-extranos-relacion-gibraltar-20181123115328.html" TargetMode="External"/><Relationship Id="rId781" Type="http://schemas.openxmlformats.org/officeDocument/2006/relationships/hyperlink" Target="https://twitter.com/hermanntertsch/status/1065501778270191617" TargetMode="External"/><Relationship Id="rId879" Type="http://schemas.openxmlformats.org/officeDocument/2006/relationships/hyperlink" Target="https://www.theguardian.com/world/ng-interactive/2018/nov/21/how-populist-are-you-quiz" TargetMode="External"/><Relationship Id="rId2462" Type="http://schemas.openxmlformats.org/officeDocument/2006/relationships/hyperlink" Target="https://goo.gl/dVfLX3?dqp65=1162618" TargetMode="External"/><Relationship Id="rId2767" Type="http://schemas.openxmlformats.org/officeDocument/2006/relationships/hyperlink" Target="https://www.elmundo.es/espana/2018/11/20/5bf407ae46163f14b08b460e.html" TargetMode="External"/><Relationship Id="rId434" Type="http://schemas.openxmlformats.org/officeDocument/2006/relationships/hyperlink" Target="https://pbs.twimg.com/media/DsrK0LLWsAA7z4R.jpg" TargetMode="External"/><Relationship Id="rId641" Type="http://schemas.openxmlformats.org/officeDocument/2006/relationships/hyperlink" Target="https://twitter.com/Alvisepf/status/1065604408585654272" TargetMode="External"/><Relationship Id="rId739" Type="http://schemas.openxmlformats.org/officeDocument/2006/relationships/hyperlink" Target="https://elpais.com/elpais/2018/11/21/opinion/1542806031_921444.html" TargetMode="External"/><Relationship Id="rId1064" Type="http://schemas.openxmlformats.org/officeDocument/2006/relationships/hyperlink" Target="https://elpais.com/elpais/2018/11/21/opinion/1542806031_921444.amp.html?__twitter_impression=true" TargetMode="External"/><Relationship Id="rId1271" Type="http://schemas.openxmlformats.org/officeDocument/2006/relationships/hyperlink" Target="https://pbs.twimg.com/media/DsmpNVeXgAABzcI.jpg" TargetMode="External"/><Relationship Id="rId1369" Type="http://schemas.openxmlformats.org/officeDocument/2006/relationships/hyperlink" Target="https://pbs.twimg.com/media/DsmX1fBWoAA0hHD.jpg" TargetMode="External"/><Relationship Id="rId1576" Type="http://schemas.openxmlformats.org/officeDocument/2006/relationships/hyperlink" Target="https://elpais.com/elpais/2018/11/21/opinion/1542806031_921444.html?id_externo_rsoc=TW_CC" TargetMode="External"/><Relationship Id="rId2115" Type="http://schemas.openxmlformats.org/officeDocument/2006/relationships/hyperlink" Target="https://pbs.twimg.com/media/DsiAZRJXcAE6Swz.jpg" TargetMode="External"/><Relationship Id="rId2322" Type="http://schemas.openxmlformats.org/officeDocument/2006/relationships/hyperlink" Target="http://www.amazon.es/Troikoficciones-historia-irreverente-rescates-europeos-ebook/dp/B016P6RBXQ/ref=" TargetMode="External"/><Relationship Id="rId2974" Type="http://schemas.openxmlformats.org/officeDocument/2006/relationships/hyperlink" Target="http://atres.red/4ncii5669" TargetMode="External"/><Relationship Id="rId501" Type="http://schemas.openxmlformats.org/officeDocument/2006/relationships/hyperlink" Target="http://cadenaser.com/programa/2018/11/22/hoy_por_hoy/1542900365_285470.html" TargetMode="External"/><Relationship Id="rId946" Type="http://schemas.openxmlformats.org/officeDocument/2006/relationships/hyperlink" Target="http://www.finanzas.com/" TargetMode="External"/><Relationship Id="rId1131" Type="http://schemas.openxmlformats.org/officeDocument/2006/relationships/hyperlink" Target="http://youtu.be/zDLC7ybzRUs?a" TargetMode="External"/><Relationship Id="rId1229" Type="http://schemas.openxmlformats.org/officeDocument/2006/relationships/hyperlink" Target="https://youtu.be/ovQyfpW1sYE" TargetMode="External"/><Relationship Id="rId1783" Type="http://schemas.openxmlformats.org/officeDocument/2006/relationships/hyperlink" Target="http://www.periodistadigital.tv/pablo-iglesias-justifica-darle-unos-punetazos-a-gentuza-de-clase-mas-baja-que-la-suya_5e0c8630d.html" TargetMode="External"/><Relationship Id="rId1990" Type="http://schemas.openxmlformats.org/officeDocument/2006/relationships/hyperlink" Target="https://www.youtube.com/watch?v=W8Psn3-0Pu8" TargetMode="External"/><Relationship Id="rId2627" Type="http://schemas.openxmlformats.org/officeDocument/2006/relationships/hyperlink" Target="https://goo.gl/ujmtRr" TargetMode="External"/><Relationship Id="rId2834" Type="http://schemas.openxmlformats.org/officeDocument/2006/relationships/hyperlink" Target="http://www.lilianalopezforesi.com.ar/" TargetMode="External"/><Relationship Id="rId75" Type="http://schemas.openxmlformats.org/officeDocument/2006/relationships/hyperlink" Target="https://www.elmundo.es/espana/2018/11/23/5bf7ccc0268e3e66388b45d4.html" TargetMode="External"/><Relationship Id="rId806" Type="http://schemas.openxmlformats.org/officeDocument/2006/relationships/hyperlink" Target="https://pbs.twimg.com/media/DsoNgtAWoAA-yIh.jpg" TargetMode="External"/><Relationship Id="rId1436" Type="http://schemas.openxmlformats.org/officeDocument/2006/relationships/hyperlink" Target="https://elpais.com/elpais/2018/11/21/opinion/1542806031_921444.html" TargetMode="External"/><Relationship Id="rId1643" Type="http://schemas.openxmlformats.org/officeDocument/2006/relationships/hyperlink" Target="http://podemos.info/" TargetMode="External"/><Relationship Id="rId1850" Type="http://schemas.openxmlformats.org/officeDocument/2006/relationships/hyperlink" Target="https://twitter.com/Pablo_Iglesias_/status/1064964257324957701" TargetMode="External"/><Relationship Id="rId2901" Type="http://schemas.openxmlformats.org/officeDocument/2006/relationships/hyperlink" Target="https://www.amazon.es/Libros-Pablo-Iglesias-Turri%C3%B3n/s?ie=UTF8&amp;page=1&amp;rh=n%3A599364031%2Cp_27%3APablo%20Iglesias%20Turri%C3%B3n" TargetMode="External"/><Relationship Id="rId1503" Type="http://schemas.openxmlformats.org/officeDocument/2006/relationships/hyperlink" Target="http://podemosparla.org/" TargetMode="External"/><Relationship Id="rId1710" Type="http://schemas.openxmlformats.org/officeDocument/2006/relationships/hyperlink" Target="http://telegram.me/JordiEstellers" TargetMode="External"/><Relationship Id="rId1948" Type="http://schemas.openxmlformats.org/officeDocument/2006/relationships/hyperlink" Target="https://www.theguardian.com/world/ng-interactive/2018/nov/21/how-populist-are-you-quiz?CMP=share_btn_fb" TargetMode="External"/><Relationship Id="rId291" Type="http://schemas.openxmlformats.org/officeDocument/2006/relationships/hyperlink" Target="https://www.europapress.es/nacional/noticia-iglesias-carga-contra-ue-fmi-criticar-proyecto-pge-atacan-clase-trabajadora-pais-20181123111410.html" TargetMode="External"/><Relationship Id="rId1808" Type="http://schemas.openxmlformats.org/officeDocument/2006/relationships/hyperlink" Target="http://pic.twitter.com/XayicOJHIr" TargetMode="External"/><Relationship Id="rId151" Type="http://schemas.openxmlformats.org/officeDocument/2006/relationships/hyperlink" Target="https://pbs.twimg.com/media/DsrN0GGW0AAtyEj.jpg" TargetMode="External"/><Relationship Id="rId389" Type="http://schemas.openxmlformats.org/officeDocument/2006/relationships/hyperlink" Target="http://iusevillaciudad.org/" TargetMode="External"/><Relationship Id="rId596" Type="http://schemas.openxmlformats.org/officeDocument/2006/relationships/hyperlink" Target="http://www.gacetaglobal.com/" TargetMode="External"/><Relationship Id="rId2277" Type="http://schemas.openxmlformats.org/officeDocument/2006/relationships/hyperlink" Target="https://pbs.twimg.com/media/Dse_qUoWkAIyOh1.jpg" TargetMode="External"/><Relationship Id="rId2484" Type="http://schemas.openxmlformats.org/officeDocument/2006/relationships/hyperlink" Target="http://www.madressolterasporeleccion.org/" TargetMode="External"/><Relationship Id="rId2691" Type="http://schemas.openxmlformats.org/officeDocument/2006/relationships/hyperlink" Target="https://www.redaccionmedica.com/secciones/parlamentarios/-podemos-quiere-fiscalizar-y-publicar-cada-pago-de-la-industria-a-un-medico-5421" TargetMode="External"/><Relationship Id="rId249" Type="http://schemas.openxmlformats.org/officeDocument/2006/relationships/hyperlink" Target="https://youtu.be/73Bs3-62J9w" TargetMode="External"/><Relationship Id="rId456" Type="http://schemas.openxmlformats.org/officeDocument/2006/relationships/hyperlink" Target="http://cadenaser.com/programa/2018/11/22/hoy_por_hoy/1542900365_285470.html" TargetMode="External"/><Relationship Id="rId663" Type="http://schemas.openxmlformats.org/officeDocument/2006/relationships/hyperlink" Target="https://twitter.com/1789Libertario/status/1065726484030136320" TargetMode="External"/><Relationship Id="rId870" Type="http://schemas.openxmlformats.org/officeDocument/2006/relationships/hyperlink" Target="http://pic.twitter.com/IzUM3vmLJt" TargetMode="External"/><Relationship Id="rId1086" Type="http://schemas.openxmlformats.org/officeDocument/2006/relationships/hyperlink" Target="https://elpais.com/elpais/2018/11/21/opinion/1542806031_921444.html?id_externo_rsoc=TW_CC" TargetMode="External"/><Relationship Id="rId1293" Type="http://schemas.openxmlformats.org/officeDocument/2006/relationships/hyperlink" Target="https://curiouscat.me/Pulposaurus/post/713698205?t=1542884880" TargetMode="External"/><Relationship Id="rId2137" Type="http://schemas.openxmlformats.org/officeDocument/2006/relationships/hyperlink" Target="https://wp.me/p8a6rH-cnb" TargetMode="External"/><Relationship Id="rId2344" Type="http://schemas.openxmlformats.org/officeDocument/2006/relationships/hyperlink" Target="https://www.elmundo.es/andalucia/2018/11/21/5bf46ba046163f4da28b4607.html" TargetMode="External"/><Relationship Id="rId2551" Type="http://schemas.openxmlformats.org/officeDocument/2006/relationships/hyperlink" Target="http://podemos.info/" TargetMode="External"/><Relationship Id="rId2789" Type="http://schemas.openxmlformats.org/officeDocument/2006/relationships/hyperlink" Target="https://youtu.be/kFH5l3IF8sk" TargetMode="External"/><Relationship Id="rId109" Type="http://schemas.openxmlformats.org/officeDocument/2006/relationships/hyperlink" Target="https://www.ticketbell.com/musica/mitin-adelante-andalucia-en-sevilla" TargetMode="External"/><Relationship Id="rId316" Type="http://schemas.openxmlformats.org/officeDocument/2006/relationships/hyperlink" Target="http://www.esdiario.com/" TargetMode="External"/><Relationship Id="rId523" Type="http://schemas.openxmlformats.org/officeDocument/2006/relationships/hyperlink" Target="https://www.eldiario.es/norte/cantabria/politica/Cantabria-Podemos-Alberto_Bolado-Iglesias-Echenique_0_838516359.html" TargetMode="External"/><Relationship Id="rId968" Type="http://schemas.openxmlformats.org/officeDocument/2006/relationships/hyperlink" Target="https://elpais.com/elpais/2018/11/21/opinion/1542806031_921444.html?id_externo_rsoc=TW_CC" TargetMode="External"/><Relationship Id="rId1153" Type="http://schemas.openxmlformats.org/officeDocument/2006/relationships/hyperlink" Target="https://twitter.com/Auripilante" TargetMode="External"/><Relationship Id="rId1598" Type="http://schemas.openxmlformats.org/officeDocument/2006/relationships/hyperlink" Target="https://t.me/ConcepcionAbellan" TargetMode="External"/><Relationship Id="rId2204" Type="http://schemas.openxmlformats.org/officeDocument/2006/relationships/hyperlink" Target="http://alcantarillasocial.com/author/protestona1" TargetMode="External"/><Relationship Id="rId2649" Type="http://schemas.openxmlformats.org/officeDocument/2006/relationships/hyperlink" Target="http://pic.twitter.com/YNztenhqr9" TargetMode="External"/><Relationship Id="rId2856" Type="http://schemas.openxmlformats.org/officeDocument/2006/relationships/hyperlink" Target="https://podemos.info/" TargetMode="External"/><Relationship Id="rId97" Type="http://schemas.openxmlformats.org/officeDocument/2006/relationships/hyperlink" Target="http://www.laizquierdadiario.com/internacional" TargetMode="External"/><Relationship Id="rId730" Type="http://schemas.openxmlformats.org/officeDocument/2006/relationships/hyperlink" Target="http://mosaicomercurio.blogspot.com/" TargetMode="External"/><Relationship Id="rId828" Type="http://schemas.openxmlformats.org/officeDocument/2006/relationships/hyperlink" Target="https://twitter.com/cristiancrespoj/status/1065325789678366720" TargetMode="External"/><Relationship Id="rId1013" Type="http://schemas.openxmlformats.org/officeDocument/2006/relationships/hyperlink" Target="https://pbs.twimg.com/media/DsnfrpQWkAEePNu.jpg" TargetMode="External"/><Relationship Id="rId1360" Type="http://schemas.openxmlformats.org/officeDocument/2006/relationships/hyperlink" Target="https://www.eldiario.es/rastreador/Hermann-Tertsch-monarquia-Pablo-Iglesias_6_838576136.html" TargetMode="External"/><Relationship Id="rId1458" Type="http://schemas.openxmlformats.org/officeDocument/2006/relationships/hyperlink" Target="https://elpais.com/sociedad/2018/11/21/actualidad/1542791655_314453.amp.html" TargetMode="External"/><Relationship Id="rId1665" Type="http://schemas.openxmlformats.org/officeDocument/2006/relationships/hyperlink" Target="http://balears.podemos.info/" TargetMode="External"/><Relationship Id="rId1872" Type="http://schemas.openxmlformats.org/officeDocument/2006/relationships/hyperlink" Target="https://pbs.twimg.com/media/DsjfZacXQAA3UYM.jpg" TargetMode="External"/><Relationship Id="rId2411" Type="http://schemas.openxmlformats.org/officeDocument/2006/relationships/hyperlink" Target="https://amp.elmundo.es/andalucia/2018/11/21/5bf46ba046163f4da28b4607.html" TargetMode="External"/><Relationship Id="rId2509" Type="http://schemas.openxmlformats.org/officeDocument/2006/relationships/hyperlink" Target="http://ow.ly/tIJK30mDEqk" TargetMode="External"/><Relationship Id="rId2716" Type="http://schemas.openxmlformats.org/officeDocument/2006/relationships/hyperlink" Target="https://pbs.twimg.com/media/DsdlLTtXoAI83VW.jpg" TargetMode="External"/><Relationship Id="rId1220" Type="http://schemas.openxmlformats.org/officeDocument/2006/relationships/hyperlink" Target="http://www.lacelosia.com/la-mejora-del-salario-minimo-tiene-efectos-positivos-en-la-salud-segun-un-estudio-realizado-en-estados-unidos/" TargetMode="External"/><Relationship Id="rId1318" Type="http://schemas.openxmlformats.org/officeDocument/2006/relationships/hyperlink" Target="https://elpais.com/elpais/2018/11/21/opinion/1542806031_921444.html?id_externo_rsoc=TW_CC" TargetMode="External"/><Relationship Id="rId1525" Type="http://schemas.openxmlformats.org/officeDocument/2006/relationships/hyperlink" Target="https://pbs.twimg.com/media/DsmDzfuXoAACNHF.jpg" TargetMode="External"/><Relationship Id="rId2923" Type="http://schemas.openxmlformats.org/officeDocument/2006/relationships/hyperlink" Target="https://goo.gl/ujmtRr" TargetMode="External"/><Relationship Id="rId1732" Type="http://schemas.openxmlformats.org/officeDocument/2006/relationships/hyperlink" Target="https://www.instagram.com/pabloheraspuente/" TargetMode="External"/><Relationship Id="rId24" Type="http://schemas.openxmlformats.org/officeDocument/2006/relationships/hyperlink" Target="http://bit.ly/RTn_SocialPubli" TargetMode="External"/><Relationship Id="rId2299" Type="http://schemas.openxmlformats.org/officeDocument/2006/relationships/hyperlink" Target="https://www.elconfidencial.com/empresas/2018-11-21/pedro-sanchez-bankia-publica_1659242/" TargetMode="External"/><Relationship Id="rId173" Type="http://schemas.openxmlformats.org/officeDocument/2006/relationships/hyperlink" Target="https://afectadosporlascooperativas.wordpress.com/" TargetMode="External"/><Relationship Id="rId380" Type="http://schemas.openxmlformats.org/officeDocument/2006/relationships/hyperlink" Target="https://pbs.twimg.com/media/DsrUlkqXQAAWBhj.jpg" TargetMode="External"/><Relationship Id="rId2061" Type="http://schemas.openxmlformats.org/officeDocument/2006/relationships/hyperlink" Target="https://pbs.twimg.com/media/DsiX1y8WkAAF9ad.jpg" TargetMode="External"/><Relationship Id="rId240" Type="http://schemas.openxmlformats.org/officeDocument/2006/relationships/hyperlink" Target="http://verdaderaizquierda.blogspot.com/" TargetMode="External"/><Relationship Id="rId478" Type="http://schemas.openxmlformats.org/officeDocument/2006/relationships/hyperlink" Target="http://cadenaser.com/programa/2018/11/22/hoy_por_hoy/1542900365_285470.html?ssm=tw-hxh" TargetMode="External"/><Relationship Id="rId685" Type="http://schemas.openxmlformats.org/officeDocument/2006/relationships/hyperlink" Target="https://youtu.be/VskGQC029u4" TargetMode="External"/><Relationship Id="rId892" Type="http://schemas.openxmlformats.org/officeDocument/2006/relationships/hyperlink" Target="http://www.lextres.com/" TargetMode="External"/><Relationship Id="rId2159" Type="http://schemas.openxmlformats.org/officeDocument/2006/relationships/hyperlink" Target="https://www.esdiario.com/214295113/Podemos-desbarra-y-culpa-a-Ana-Pastor-del-escandalo-montado-por-Rufian-.html" TargetMode="External"/><Relationship Id="rId2366" Type="http://schemas.openxmlformats.org/officeDocument/2006/relationships/hyperlink" Target="http://tomassocio.blogspot.com.es/" TargetMode="External"/><Relationship Id="rId2573" Type="http://schemas.openxmlformats.org/officeDocument/2006/relationships/hyperlink" Target="https://www.periodistadigital.com/periodismo/tv/2018/11/20/pedro-sanchez-pablo-iglesias-presupuestos-elecciones-ferreras-gobierno.shtml" TargetMode="External"/><Relationship Id="rId2780" Type="http://schemas.openxmlformats.org/officeDocument/2006/relationships/hyperlink" Target="http://youtu.be/nyKcBUxQ7Ww?a" TargetMode="External"/><Relationship Id="rId100" Type="http://schemas.openxmlformats.org/officeDocument/2006/relationships/hyperlink" Target="https://pbs.twimg.com/media/DsrfNY3XQAAOJve.jpg" TargetMode="External"/><Relationship Id="rId338" Type="http://schemas.openxmlformats.org/officeDocument/2006/relationships/hyperlink" Target="http://130aniversariougt.es/libro-bolsillo-pablo-iglesias-para-fundar-ugt/" TargetMode="External"/><Relationship Id="rId545" Type="http://schemas.openxmlformats.org/officeDocument/2006/relationships/hyperlink" Target="http://www.elpais.com/" TargetMode="External"/><Relationship Id="rId752" Type="http://schemas.openxmlformats.org/officeDocument/2006/relationships/hyperlink" Target="https://www.lahaine.org/est_espanol.php/la-bandera-tricolor-y-los" TargetMode="External"/><Relationship Id="rId1175" Type="http://schemas.openxmlformats.org/officeDocument/2006/relationships/hyperlink" Target="http://informalia.eleconomista.es/informalia/actualidad/noticias/9536886/11/18/Pablo-Iglesias-propone-una-boda-roja-soft-para-la-monarquia-y-reivindica-la-republica.html" TargetMode="External"/><Relationship Id="rId1382" Type="http://schemas.openxmlformats.org/officeDocument/2006/relationships/hyperlink" Target="https://elpais.com/elpais/2018/11/21/opinion/1542806031_921444.html?id_externo_rsoc=TW_CC" TargetMode="External"/><Relationship Id="rId2019" Type="http://schemas.openxmlformats.org/officeDocument/2006/relationships/hyperlink" Target="https://pbs.twimg.com/media/DshJpj6XQAAAkBh.jpg" TargetMode="External"/><Relationship Id="rId2226" Type="http://schemas.openxmlformats.org/officeDocument/2006/relationships/hyperlink" Target="http://www.grancanariatv.com/" TargetMode="External"/><Relationship Id="rId2433" Type="http://schemas.openxmlformats.org/officeDocument/2006/relationships/hyperlink" Target="https://www.elmundo.es/andalucia/2018/11/21/5bf46ba046163f4da28b4607.html" TargetMode="External"/><Relationship Id="rId2640" Type="http://schemas.openxmlformats.org/officeDocument/2006/relationships/hyperlink" Target="https://pbs.twimg.com/media/Dsd4WD-XQAI7kEZ.jpg" TargetMode="External"/><Relationship Id="rId2878" Type="http://schemas.openxmlformats.org/officeDocument/2006/relationships/hyperlink" Target="https://twitter.com/LuisAlfBorbon/status/1064657017569271808" TargetMode="External"/><Relationship Id="rId405" Type="http://schemas.openxmlformats.org/officeDocument/2006/relationships/hyperlink" Target="http://www.lastablasdigital.com/" TargetMode="External"/><Relationship Id="rId612" Type="http://schemas.openxmlformats.org/officeDocument/2006/relationships/hyperlink" Target="https://youtu.be/vhkVr7U0QgQ" TargetMode="External"/><Relationship Id="rId1035" Type="http://schemas.openxmlformats.org/officeDocument/2006/relationships/hyperlink" Target="https://joseramontorices.wordpress.com/" TargetMode="External"/><Relationship Id="rId1242" Type="http://schemas.openxmlformats.org/officeDocument/2006/relationships/hyperlink" Target="https://elpais.com/elpais/2018/11/21/opinion/1542806031_921444.html" TargetMode="External"/><Relationship Id="rId1687" Type="http://schemas.openxmlformats.org/officeDocument/2006/relationships/hyperlink" Target="https://pbs.twimg.com/media/DslwdqhU8AA50db.jpg" TargetMode="External"/><Relationship Id="rId1894" Type="http://schemas.openxmlformats.org/officeDocument/2006/relationships/hyperlink" Target="https://pbs.twimg.com/media/DsioXV3XoAAe76Z.jpg" TargetMode="External"/><Relationship Id="rId2500" Type="http://schemas.openxmlformats.org/officeDocument/2006/relationships/hyperlink" Target="https://twitter.com/consullano1/status/1064596708112433156" TargetMode="External"/><Relationship Id="rId2738" Type="http://schemas.openxmlformats.org/officeDocument/2006/relationships/hyperlink" Target="https://pbs.twimg.com/media/DsdgxOhXQAAH3WG.jpg" TargetMode="External"/><Relationship Id="rId2945" Type="http://schemas.openxmlformats.org/officeDocument/2006/relationships/hyperlink" Target="http://podemos.info/" TargetMode="External"/><Relationship Id="rId917" Type="http://schemas.openxmlformats.org/officeDocument/2006/relationships/hyperlink" Target="https://casoaislado.com/abascal-vapulea-pablo-iglesias-la-monarquia-sirve-alguien-devorado-odio-no-alcance-la-jefatura-del-estado/" TargetMode="External"/><Relationship Id="rId1102" Type="http://schemas.openxmlformats.org/officeDocument/2006/relationships/hyperlink" Target="http://page.is/jesusantonio" TargetMode="External"/><Relationship Id="rId1547" Type="http://schemas.openxmlformats.org/officeDocument/2006/relationships/hyperlink" Target="http://www.marioortega.org/" TargetMode="External"/><Relationship Id="rId1754" Type="http://schemas.openxmlformats.org/officeDocument/2006/relationships/hyperlink" Target="https://www.theguardian.com/world/ng-interactive/2018/nov/21/how-populist-are-you-quiz" TargetMode="External"/><Relationship Id="rId1961" Type="http://schemas.openxmlformats.org/officeDocument/2006/relationships/hyperlink" Target="https://www.theguardian.com/world/ng-interactive/2018/nov/21/how-populist-are-you-quiz?CMP=Share_AndroidApp_Tweet" TargetMode="External"/><Relationship Id="rId2805" Type="http://schemas.openxmlformats.org/officeDocument/2006/relationships/hyperlink" Target="https://www.elmundo.es/espana/2018/11/20/5bf407ae46163f14b08b460e.html" TargetMode="External"/><Relationship Id="rId46" Type="http://schemas.openxmlformats.org/officeDocument/2006/relationships/hyperlink" Target="https://pbs.twimg.com/media/Dsotr9HXcAA16pW.jpg" TargetMode="External"/><Relationship Id="rId1407" Type="http://schemas.openxmlformats.org/officeDocument/2006/relationships/hyperlink" Target="https://elpais.com/elpais/2018/11/21/opinion/1542806031_921444.amp.html?__twitter_impression=true" TargetMode="External"/><Relationship Id="rId1614" Type="http://schemas.openxmlformats.org/officeDocument/2006/relationships/hyperlink" Target="http://urbano24horas.com/" TargetMode="External"/><Relationship Id="rId1821" Type="http://schemas.openxmlformats.org/officeDocument/2006/relationships/hyperlink" Target="http://youtu.be/kFH5l3IF8sk?a" TargetMode="External"/><Relationship Id="rId195" Type="http://schemas.openxmlformats.org/officeDocument/2006/relationships/hyperlink" Target="https://www.vozpopuli.com/politica/Iglesias-Carmena-alcaldesa-madrid-podemos_0_1193580769.html" TargetMode="External"/><Relationship Id="rId1919" Type="http://schemas.openxmlformats.org/officeDocument/2006/relationships/hyperlink" Target="https://pbs.twimg.com/media/DsjRhvRWsAEPjD6.jpg" TargetMode="External"/><Relationship Id="rId2083" Type="http://schemas.openxmlformats.org/officeDocument/2006/relationships/hyperlink" Target="http://www.aticaemporda.com/" TargetMode="External"/><Relationship Id="rId2290" Type="http://schemas.openxmlformats.org/officeDocument/2006/relationships/hyperlink" Target="https://bit.ly/2PtmWdD" TargetMode="External"/><Relationship Id="rId2388" Type="http://schemas.openxmlformats.org/officeDocument/2006/relationships/hyperlink" Target="http://pic.twitter.com/rBieiSlGqE" TargetMode="External"/><Relationship Id="rId2595" Type="http://schemas.openxmlformats.org/officeDocument/2006/relationships/hyperlink" Target="https://twitter.com/Albert_Rivera/status/1064950502423740417" TargetMode="External"/><Relationship Id="rId262" Type="http://schemas.openxmlformats.org/officeDocument/2006/relationships/hyperlink" Target="https://okdiario.com/espana/2018/11/23/iglesias-califica-patriotismo-extrano-defender-soberania-gibraltar-3382790" TargetMode="External"/><Relationship Id="rId567" Type="http://schemas.openxmlformats.org/officeDocument/2006/relationships/hyperlink" Target="https://flagelodelocorrecto.wordpress.com/2018/11/23/pablo-iglesias-la-bandera-tricolor-es-el-simbolo-de-los-perdedores-y-no-volvera-a-resurgir/" TargetMode="External"/><Relationship Id="rId1197" Type="http://schemas.openxmlformats.org/officeDocument/2006/relationships/hyperlink" Target="https://www.slaymultimedios.com/pablo-iglesias-pide-una-nueva-repblica-como-garanta-para-una-espaa-unida/" TargetMode="External"/><Relationship Id="rId2150" Type="http://schemas.openxmlformats.org/officeDocument/2006/relationships/hyperlink" Target="http://www.lasexta.com/programas/sexta-noche/" TargetMode="External"/><Relationship Id="rId2248" Type="http://schemas.openxmlformats.org/officeDocument/2006/relationships/hyperlink" Target="http://futuroencomun.net/" TargetMode="External"/><Relationship Id="rId122" Type="http://schemas.openxmlformats.org/officeDocument/2006/relationships/hyperlink" Target="https://bit.ly/2DByp3L" TargetMode="External"/><Relationship Id="rId774" Type="http://schemas.openxmlformats.org/officeDocument/2006/relationships/hyperlink" Target="https://twitter.com/NoSoyLaGente/status/1065334320955629570" TargetMode="External"/><Relationship Id="rId981" Type="http://schemas.openxmlformats.org/officeDocument/2006/relationships/hyperlink" Target="https://pbs.twimg.com/media/DsnnWWKW0AAm8E8.jpg" TargetMode="External"/><Relationship Id="rId1057" Type="http://schemas.openxmlformats.org/officeDocument/2006/relationships/hyperlink" Target="https://gu.com/p/9qt5q?CMP=share_btn_fb" TargetMode="External"/><Relationship Id="rId2010" Type="http://schemas.openxmlformats.org/officeDocument/2006/relationships/hyperlink" Target="http://dlvr.it/QrnScw" TargetMode="External"/><Relationship Id="rId2455" Type="http://schemas.openxmlformats.org/officeDocument/2006/relationships/hyperlink" Target="http://www.elmundo.es/andalucia/2018/11/21/5bf46ba046163f4da28b4607.html" TargetMode="External"/><Relationship Id="rId2662" Type="http://schemas.openxmlformats.org/officeDocument/2006/relationships/hyperlink" Target="https://www.periodistadigital.com/periodismo/tv/2018/11/20/pedro-sanchez-pablo-iglesias-presupuestos-elecciones-ferreras-gobierno.shtml" TargetMode="External"/><Relationship Id="rId427" Type="http://schemas.openxmlformats.org/officeDocument/2006/relationships/hyperlink" Target="https://pbs.twimg.com/media/DsrLlpWXoAA28zm.jpg" TargetMode="External"/><Relationship Id="rId634" Type="http://schemas.openxmlformats.org/officeDocument/2006/relationships/hyperlink" Target="http://pic.twitter.com/8E9BL0AbL6" TargetMode="External"/><Relationship Id="rId841" Type="http://schemas.openxmlformats.org/officeDocument/2006/relationships/hyperlink" Target="http://ow.ly/6cYl30mIqYp" TargetMode="External"/><Relationship Id="rId1264" Type="http://schemas.openxmlformats.org/officeDocument/2006/relationships/hyperlink" Target="https://pbs.twimg.com/media/Dsmqb53WwAAcGZ5.jpg" TargetMode="External"/><Relationship Id="rId1471" Type="http://schemas.openxmlformats.org/officeDocument/2006/relationships/hyperlink" Target="https://elpais.com/elpais/2018/11/21/opinion/1542806031_921444.html?id_externo_rsoc=TW_CC" TargetMode="External"/><Relationship Id="rId1569" Type="http://schemas.openxmlformats.org/officeDocument/2006/relationships/hyperlink" Target="https://elpais.com/elpais/2018/11/21/opinion/1542806031_921444.html" TargetMode="External"/><Relationship Id="rId2108" Type="http://schemas.openxmlformats.org/officeDocument/2006/relationships/hyperlink" Target="http://abogadosmedellin.mobi/aranjuez-medellin-abogados-civil" TargetMode="External"/><Relationship Id="rId2315" Type="http://schemas.openxmlformats.org/officeDocument/2006/relationships/hyperlink" Target="https://twitter.com/rosadiezglez/status/1064822104783245312" TargetMode="External"/><Relationship Id="rId2522" Type="http://schemas.openxmlformats.org/officeDocument/2006/relationships/hyperlink" Target="http://pic.twitter.com/3H90rKZHmO" TargetMode="External"/><Relationship Id="rId2967" Type="http://schemas.openxmlformats.org/officeDocument/2006/relationships/hyperlink" Target="http://www.pp.es/" TargetMode="External"/><Relationship Id="rId701" Type="http://schemas.openxmlformats.org/officeDocument/2006/relationships/hyperlink" Target="https://twitter.com/ACOM_es/status/1065670231744569345" TargetMode="External"/><Relationship Id="rId939" Type="http://schemas.openxmlformats.org/officeDocument/2006/relationships/hyperlink" Target="http://elperiodi.co/jcpnz1" TargetMode="External"/><Relationship Id="rId1124" Type="http://schemas.openxmlformats.org/officeDocument/2006/relationships/hyperlink" Target="https://elpais.com/elpais/2018/11/21/opinion/1542806031_921444.html" TargetMode="External"/><Relationship Id="rId1331" Type="http://schemas.openxmlformats.org/officeDocument/2006/relationships/hyperlink" Target="https://youtu.be/d9AGuhHRLvs" TargetMode="External"/><Relationship Id="rId1776" Type="http://schemas.openxmlformats.org/officeDocument/2006/relationships/hyperlink" Target="http://raulmarcelo.blogspot.com/" TargetMode="External"/><Relationship Id="rId1983" Type="http://schemas.openxmlformats.org/officeDocument/2006/relationships/hyperlink" Target="https://www.youtube.com/channel/UCzxgc4H0oHpD_o05R7wmEAA/videos" TargetMode="External"/><Relationship Id="rId2827" Type="http://schemas.openxmlformats.org/officeDocument/2006/relationships/hyperlink" Target="http://okdiario.com/" TargetMode="External"/><Relationship Id="rId68" Type="http://schemas.openxmlformats.org/officeDocument/2006/relationships/hyperlink" Target="http://www.noticierouniversal.com/" TargetMode="External"/><Relationship Id="rId1429" Type="http://schemas.openxmlformats.org/officeDocument/2006/relationships/hyperlink" Target="https://pbs.twimg.com/media/DsmPeDaW0AAcia1.jpg" TargetMode="External"/><Relationship Id="rId1636" Type="http://schemas.openxmlformats.org/officeDocument/2006/relationships/hyperlink" Target="http://www.agarzon.net/" TargetMode="External"/><Relationship Id="rId1843" Type="http://schemas.openxmlformats.org/officeDocument/2006/relationships/hyperlink" Target="http://grupo.us.es/giest/" TargetMode="External"/><Relationship Id="rId1703" Type="http://schemas.openxmlformats.org/officeDocument/2006/relationships/hyperlink" Target="http://podemos.info/" TargetMode="External"/><Relationship Id="rId1910" Type="http://schemas.openxmlformats.org/officeDocument/2006/relationships/hyperlink" Target="https://twitter.com/BlasyDora/status/1065262611380535299" TargetMode="External"/><Relationship Id="rId284" Type="http://schemas.openxmlformats.org/officeDocument/2006/relationships/hyperlink" Target="http://serviciodomesticoactivo.blogspot.com.es/p/quienes-somos.html" TargetMode="External"/><Relationship Id="rId491" Type="http://schemas.openxmlformats.org/officeDocument/2006/relationships/hyperlink" Target="http://cadenaser.com/programa/2018/11/22/hoy_por_hoy/1542900365_285470.html?ssm=tw-hxh" TargetMode="External"/><Relationship Id="rId2172" Type="http://schemas.openxmlformats.org/officeDocument/2006/relationships/hyperlink" Target="https://www.elmundo.es/andalucia/2018/11/21/5bf46ba046163f4da28b4607.html" TargetMode="External"/><Relationship Id="rId144" Type="http://schemas.openxmlformats.org/officeDocument/2006/relationships/hyperlink" Target="https://pbs.twimg.com/media/Dsr6rvdXoAEiZNl.jpg" TargetMode="External"/><Relationship Id="rId589" Type="http://schemas.openxmlformats.org/officeDocument/2006/relationships/hyperlink" Target="https://plus.google.com/101097701906649811564" TargetMode="External"/><Relationship Id="rId796" Type="http://schemas.openxmlformats.org/officeDocument/2006/relationships/hyperlink" Target="http://inigoortizdeguzmanplus.wordpress.com/" TargetMode="External"/><Relationship Id="rId2477" Type="http://schemas.openxmlformats.org/officeDocument/2006/relationships/hyperlink" Target="http://pic.twitter.com/Buj0BTwFMh" TargetMode="External"/><Relationship Id="rId2684" Type="http://schemas.openxmlformats.org/officeDocument/2006/relationships/hyperlink" Target="http://www.madridapie.com/" TargetMode="External"/><Relationship Id="rId351" Type="http://schemas.openxmlformats.org/officeDocument/2006/relationships/hyperlink" Target="https://m.eldiario.es/rastreador/Hermann-Tertsch-monarquia-Pablo-Iglesias_6_838576136.html" TargetMode="External"/><Relationship Id="rId449" Type="http://schemas.openxmlformats.org/officeDocument/2006/relationships/hyperlink" Target="http://cadenaser.com/" TargetMode="External"/><Relationship Id="rId656" Type="http://schemas.openxmlformats.org/officeDocument/2006/relationships/hyperlink" Target="http://pic.twitter.com/YFhlNH1bwC" TargetMode="External"/><Relationship Id="rId863" Type="http://schemas.openxmlformats.org/officeDocument/2006/relationships/hyperlink" Target="https://www.instagram.com/judithcuchillo/" TargetMode="External"/><Relationship Id="rId1079" Type="http://schemas.openxmlformats.org/officeDocument/2006/relationships/hyperlink" Target="http://pic.twitter.com/Fqqj4JRDSp" TargetMode="External"/><Relationship Id="rId1286" Type="http://schemas.openxmlformats.org/officeDocument/2006/relationships/hyperlink" Target="https://elpais.com/elpais/2018/11/21/opinion/1542806031_921444.html" TargetMode="External"/><Relationship Id="rId1493" Type="http://schemas.openxmlformats.org/officeDocument/2006/relationships/hyperlink" Target="https://pbs.twimg.com/media/DsmHOOhWoAAuWDn.jpg" TargetMode="External"/><Relationship Id="rId2032" Type="http://schemas.openxmlformats.org/officeDocument/2006/relationships/hyperlink" Target="https://pbs.twimg.com/media/DsinemNW0AEpCGe.jpg" TargetMode="External"/><Relationship Id="rId2337" Type="http://schemas.openxmlformats.org/officeDocument/2006/relationships/hyperlink" Target="http://www.masconsulting.es/" TargetMode="External"/><Relationship Id="rId2544" Type="http://schemas.openxmlformats.org/officeDocument/2006/relationships/hyperlink" Target="https://www.esdiario.com/863352693/Un-audio-robado-hunde-a-Pablo-Iglesias-cocteles-molotov-contra-la-Guardia-Civil.html" TargetMode="External"/><Relationship Id="rId2891" Type="http://schemas.openxmlformats.org/officeDocument/2006/relationships/hyperlink" Target="https://twitter.com/i/broadcasts/1dRKZOoByLzGB" TargetMode="External"/><Relationship Id="rId211" Type="http://schemas.openxmlformats.org/officeDocument/2006/relationships/hyperlink" Target="http://alcantarillasocial.com/author/protestona1" TargetMode="External"/><Relationship Id="rId309" Type="http://schemas.openxmlformats.org/officeDocument/2006/relationships/hyperlink" Target="http://pradoalberdi.wordpress.com/" TargetMode="External"/><Relationship Id="rId516" Type="http://schemas.openxmlformats.org/officeDocument/2006/relationships/hyperlink" Target="https://twitter.com/JosPastr/status/1065517979377561600" TargetMode="External"/><Relationship Id="rId1146" Type="http://schemas.openxmlformats.org/officeDocument/2006/relationships/hyperlink" Target="https://ift.tt/2PMIAd1" TargetMode="External"/><Relationship Id="rId1798" Type="http://schemas.openxmlformats.org/officeDocument/2006/relationships/hyperlink" Target="http://www.ppsevilla.com/" TargetMode="External"/><Relationship Id="rId2751" Type="http://schemas.openxmlformats.org/officeDocument/2006/relationships/hyperlink" Target="http://pic.twitter.com/YFhlNH1bwC" TargetMode="External"/><Relationship Id="rId2849" Type="http://schemas.openxmlformats.org/officeDocument/2006/relationships/hyperlink" Target="http://pic.twitter.com/u9Spg6cMDH" TargetMode="External"/><Relationship Id="rId723" Type="http://schemas.openxmlformats.org/officeDocument/2006/relationships/hyperlink" Target="https://elpais.com/elpais/2018/11/21/opinion/1542806031_921444.html?id_externo_rsoc=TW_CC" TargetMode="External"/><Relationship Id="rId930" Type="http://schemas.openxmlformats.org/officeDocument/2006/relationships/hyperlink" Target="https://elpais.com/elpais/2018/11/21/opinion/1542806031_921444.html?id_externo_rsoc=TW_CC" TargetMode="External"/><Relationship Id="rId1006" Type="http://schemas.openxmlformats.org/officeDocument/2006/relationships/hyperlink" Target="http://www.facebook.com/vicentescriva" TargetMode="External"/><Relationship Id="rId1353" Type="http://schemas.openxmlformats.org/officeDocument/2006/relationships/hyperlink" Target="http://ow.ly/tIJK30mDEqk" TargetMode="External"/><Relationship Id="rId1560" Type="http://schemas.openxmlformats.org/officeDocument/2006/relationships/hyperlink" Target="https://elpais.com/elpais/2018/11/21/opinion/1542806031_921444.html" TargetMode="External"/><Relationship Id="rId1658" Type="http://schemas.openxmlformats.org/officeDocument/2006/relationships/hyperlink" Target="http://ciudadanoenlanube.blogspot.com/" TargetMode="External"/><Relationship Id="rId1865" Type="http://schemas.openxmlformats.org/officeDocument/2006/relationships/hyperlink" Target="https://pbs.twimg.com/media/Dsjk4rLXoAAhPfB.jpg" TargetMode="External"/><Relationship Id="rId2404" Type="http://schemas.openxmlformats.org/officeDocument/2006/relationships/hyperlink" Target="https://www.youtube.com/attribution_link?a=xf9iRToJFq4&amp;u=%2Fwatch%3Fv%3DdJQamM0sPOk%26feature%3Dshare" TargetMode="External"/><Relationship Id="rId2611" Type="http://schemas.openxmlformats.org/officeDocument/2006/relationships/hyperlink" Target="https://www.periodistadigital.com/periodismo/tv/2018/11/20/pedro-sanchez-pablo-iglesias-presupuestos-elecciones-ferreras-gobierno.shtml" TargetMode="External"/><Relationship Id="rId2709" Type="http://schemas.openxmlformats.org/officeDocument/2006/relationships/hyperlink" Target="https://www.youtube.com/watch?v=dJQamM0sPOk&amp;feature=share" TargetMode="External"/><Relationship Id="rId1213" Type="http://schemas.openxmlformats.org/officeDocument/2006/relationships/hyperlink" Target="https://sptnkne.ws/kdgc" TargetMode="External"/><Relationship Id="rId1420" Type="http://schemas.openxmlformats.org/officeDocument/2006/relationships/hyperlink" Target="https://pbs.twimg.com/media/DsmRNBsXoAYlsER.jpg" TargetMode="External"/><Relationship Id="rId1518" Type="http://schemas.openxmlformats.org/officeDocument/2006/relationships/hyperlink" Target="https://www.elconfidencial.com/espana/2016-04-04/financiacion-ilegal-podemos-venezuela-pago-millones-pablo-iglesias-juan-carlos-monedero-jorge-vestrynge_1178845/" TargetMode="External"/><Relationship Id="rId2916" Type="http://schemas.openxmlformats.org/officeDocument/2006/relationships/hyperlink" Target="https://www.elmundo.es/espana/2018/11/20/5bf407ae46163f14b08b460e.html" TargetMode="External"/><Relationship Id="rId1725" Type="http://schemas.openxmlformats.org/officeDocument/2006/relationships/hyperlink" Target="http://www.red68.co.uk/" TargetMode="External"/><Relationship Id="rId1932" Type="http://schemas.openxmlformats.org/officeDocument/2006/relationships/hyperlink" Target="https://pbs.twimg.com/media/DsjNRnwXcAEqmte.jpg" TargetMode="External"/><Relationship Id="rId17" Type="http://schemas.openxmlformats.org/officeDocument/2006/relationships/hyperlink" Target="https://www.kickstarter.com/projects/pablodura/the-lincoln-brigade" TargetMode="External"/><Relationship Id="rId2194" Type="http://schemas.openxmlformats.org/officeDocument/2006/relationships/hyperlink" Target="https://twitter.com/lopez_vallet/status/1065163716868694016" TargetMode="External"/><Relationship Id="rId166" Type="http://schemas.openxmlformats.org/officeDocument/2006/relationships/hyperlink" Target="https://www.elmundo.es/television/2016/07/27/579894fae5fdea276e8b4575.html" TargetMode="External"/><Relationship Id="rId373" Type="http://schemas.openxmlformats.org/officeDocument/2006/relationships/hyperlink" Target="http://bit.ly/2PTEiAM" TargetMode="External"/><Relationship Id="rId580" Type="http://schemas.openxmlformats.org/officeDocument/2006/relationships/hyperlink" Target="https://youtu.be/VvCX59vDQTc" TargetMode="External"/><Relationship Id="rId2054" Type="http://schemas.openxmlformats.org/officeDocument/2006/relationships/hyperlink" Target="https://pbs.twimg.com/media/DsidBZBUUAAP5zC.jpg" TargetMode="External"/><Relationship Id="rId2261" Type="http://schemas.openxmlformats.org/officeDocument/2006/relationships/hyperlink" Target="https://twitter.com/Els_quatre_gats/status/560833460836007937" TargetMode="External"/><Relationship Id="rId2499" Type="http://schemas.openxmlformats.org/officeDocument/2006/relationships/hyperlink" Target="https://youtu.be/QFj42skgk1c" TargetMode="External"/><Relationship Id="rId1" Type="http://schemas.openxmlformats.org/officeDocument/2006/relationships/hyperlink" Target="https://www.youtube.com/attribution_link?a=cqI82-Bb_LQ&amp;u=%2Fwatch%3Fv%3DOg63UN3v7QA%26feature%3Dshare" TargetMode="External"/><Relationship Id="rId233" Type="http://schemas.openxmlformats.org/officeDocument/2006/relationships/hyperlink" Target="https://elpais.com/elpais/2018/11/21/opinion/1542806031_921444.html" TargetMode="External"/><Relationship Id="rId440" Type="http://schemas.openxmlformats.org/officeDocument/2006/relationships/hyperlink" Target="https://twitter.com/manuperez2002/status/1065638895168221190" TargetMode="External"/><Relationship Id="rId678" Type="http://schemas.openxmlformats.org/officeDocument/2006/relationships/hyperlink" Target="https://m.eldiario.es/rastreador/Hermann-Tertsch-monarquia-Pablo-Iglesias_6_838576136.html" TargetMode="External"/><Relationship Id="rId885" Type="http://schemas.openxmlformats.org/officeDocument/2006/relationships/hyperlink" Target="https://youtu.be/sUFhODnOwS8" TargetMode="External"/><Relationship Id="rId1070" Type="http://schemas.openxmlformats.org/officeDocument/2006/relationships/hyperlink" Target="https://elpais.com/elpais/2018/11/21/opinion/1542806031_921444.amp.html?__twitter_impression=true" TargetMode="External"/><Relationship Id="rId2121" Type="http://schemas.openxmlformats.org/officeDocument/2006/relationships/hyperlink" Target="http://www.radiopica.online/" TargetMode="External"/><Relationship Id="rId2359" Type="http://schemas.openxmlformats.org/officeDocument/2006/relationships/hyperlink" Target="https://bit.ly/2DsUalY" TargetMode="External"/><Relationship Id="rId2566" Type="http://schemas.openxmlformats.org/officeDocument/2006/relationships/hyperlink" Target="https://youtu.be/dJQamM0sPOk" TargetMode="External"/><Relationship Id="rId2773" Type="http://schemas.openxmlformats.org/officeDocument/2006/relationships/hyperlink" Target="https://www.elmundo.es/espana/2018/11/20/5bf407ae46163f14b08b460e.html" TargetMode="External"/><Relationship Id="rId2980" Type="http://schemas.openxmlformats.org/officeDocument/2006/relationships/hyperlink" Target="https://pbs.twimg.com/media/DsckEyCWsAA6yzQ.jpg" TargetMode="External"/><Relationship Id="rId300" Type="http://schemas.openxmlformats.org/officeDocument/2006/relationships/hyperlink" Target="https://errenteriagorria.blogspot.com/2018/11/enric-juliana-sin-podemos-sanchez-no.html" TargetMode="External"/><Relationship Id="rId538" Type="http://schemas.openxmlformats.org/officeDocument/2006/relationships/hyperlink" Target="https://elpais.com/elpais/2018/11/21/opinion/1542806031_921444.html?id_externo_rsoc=TW_CC" TargetMode="External"/><Relationship Id="rId745" Type="http://schemas.openxmlformats.org/officeDocument/2006/relationships/hyperlink" Target="http://teroland.blogspot.com/" TargetMode="External"/><Relationship Id="rId952" Type="http://schemas.openxmlformats.org/officeDocument/2006/relationships/hyperlink" Target="https://pbs.twimg.com/media/DsntmB3XoAEublo.jpg" TargetMode="External"/><Relationship Id="rId1168" Type="http://schemas.openxmlformats.org/officeDocument/2006/relationships/hyperlink" Target="https://pbs.twimg.com/media/Dsm4jk9WoAI-LRF.jpg" TargetMode="External"/><Relationship Id="rId1375" Type="http://schemas.openxmlformats.org/officeDocument/2006/relationships/hyperlink" Target="https://pbs.twimg.com/media/DslubFQXQAAofAn.jpg" TargetMode="External"/><Relationship Id="rId1582" Type="http://schemas.openxmlformats.org/officeDocument/2006/relationships/hyperlink" Target="http://cmadrid.podemos.info/" TargetMode="External"/><Relationship Id="rId2219" Type="http://schemas.openxmlformats.org/officeDocument/2006/relationships/hyperlink" Target="http://www.elmundo.es/andalucia/2018/11/21/5bf46ba046163f4da28b4607.html" TargetMode="External"/><Relationship Id="rId2426" Type="http://schemas.openxmlformats.org/officeDocument/2006/relationships/hyperlink" Target="https://www.facebook.com/elforolc/" TargetMode="External"/><Relationship Id="rId2633" Type="http://schemas.openxmlformats.org/officeDocument/2006/relationships/hyperlink" Target="http://tormenta78.com/" TargetMode="External"/><Relationship Id="rId81" Type="http://schemas.openxmlformats.org/officeDocument/2006/relationships/hyperlink" Target="https://www.alertanacional.es/pablo-iglesias-dice-que-no-apoyara-a-pedro-sanchez-si-defiende-la-espanolidad-de-gibraltar-ante-el-reino-unido/" TargetMode="External"/><Relationship Id="rId605" Type="http://schemas.openxmlformats.org/officeDocument/2006/relationships/hyperlink" Target="http://www.investmentbanking.es/" TargetMode="External"/><Relationship Id="rId812" Type="http://schemas.openxmlformats.org/officeDocument/2006/relationships/hyperlink" Target="http://goo.gl/A44qyL" TargetMode="External"/><Relationship Id="rId1028" Type="http://schemas.openxmlformats.org/officeDocument/2006/relationships/hyperlink" Target="http://es.linkedin.com/pub/iv%C3%A1n-pablo-rom%C3%A1n-falc%C3%B3/34/4a4/23b" TargetMode="External"/><Relationship Id="rId1235" Type="http://schemas.openxmlformats.org/officeDocument/2006/relationships/hyperlink" Target="http://antonyasantyago.blogspot.com/" TargetMode="External"/><Relationship Id="rId1442" Type="http://schemas.openxmlformats.org/officeDocument/2006/relationships/hyperlink" Target="http://nemb92.tumblr.com/" TargetMode="External"/><Relationship Id="rId1887" Type="http://schemas.openxmlformats.org/officeDocument/2006/relationships/hyperlink" Target="http://pic.twitter.com/ohgq4hcC5I" TargetMode="External"/><Relationship Id="rId2840" Type="http://schemas.openxmlformats.org/officeDocument/2006/relationships/hyperlink" Target="https://noticierouniversal.com/actualidad/pablo-iglesias-es-probable-que-tengamos-elecciones-muy-pronto/" TargetMode="External"/><Relationship Id="rId2938" Type="http://schemas.openxmlformats.org/officeDocument/2006/relationships/hyperlink" Target="http://www.elclubdelosviernes.org/" TargetMode="External"/><Relationship Id="rId1302" Type="http://schemas.openxmlformats.org/officeDocument/2006/relationships/hyperlink" Target="https://elpais.com/elpais/2018/11/21/opinion/1542806031_921444.html?id_externo_rsoc=TW_CC" TargetMode="External"/><Relationship Id="rId1747" Type="http://schemas.openxmlformats.org/officeDocument/2006/relationships/hyperlink" Target="https://elpais.com/elpais/2018/11/21/opinion/1542806031_921444.html?id_externo_rsoc=TW_CC" TargetMode="External"/><Relationship Id="rId1954" Type="http://schemas.openxmlformats.org/officeDocument/2006/relationships/hyperlink" Target="http://pic.twitter.com/sr0ko3wAS7" TargetMode="External"/><Relationship Id="rId2700" Type="http://schemas.openxmlformats.org/officeDocument/2006/relationships/hyperlink" Target="http://www.unidadcivicaporlarepublica.es/" TargetMode="External"/><Relationship Id="rId39" Type="http://schemas.openxmlformats.org/officeDocument/2006/relationships/hyperlink" Target="http://pic.twitter.com/GY7FzVTCuN" TargetMode="External"/><Relationship Id="rId1607" Type="http://schemas.openxmlformats.org/officeDocument/2006/relationships/hyperlink" Target="https://www.cuartopoder.es/author/maria-corrales/" TargetMode="External"/><Relationship Id="rId1814" Type="http://schemas.openxmlformats.org/officeDocument/2006/relationships/hyperlink" Target="http://pic.twitter.com/a3SpLEHS3y" TargetMode="External"/><Relationship Id="rId188" Type="http://schemas.openxmlformats.org/officeDocument/2006/relationships/hyperlink" Target="http://www.outono.net/elentir/2018/11/22/para-que-sirve-hoy-podemos/" TargetMode="External"/><Relationship Id="rId395" Type="http://schemas.openxmlformats.org/officeDocument/2006/relationships/hyperlink" Target="https://twitter.com/sanchezcastejon/status/1065718710466428928" TargetMode="External"/><Relationship Id="rId2076" Type="http://schemas.openxmlformats.org/officeDocument/2006/relationships/hyperlink" Target="https://twitter.com/antoniobanos_/status/1065178684502536192" TargetMode="External"/><Relationship Id="rId2283" Type="http://schemas.openxmlformats.org/officeDocument/2006/relationships/hyperlink" Target="https://bit.ly/2PtmWdD" TargetMode="External"/><Relationship Id="rId2490" Type="http://schemas.openxmlformats.org/officeDocument/2006/relationships/hyperlink" Target="http://www.elperiodico.com/" TargetMode="External"/><Relationship Id="rId2588" Type="http://schemas.openxmlformats.org/officeDocument/2006/relationships/hyperlink" Target="https://pbs.twimg.com/media/DseHYo9WkAA3Akx.jpg" TargetMode="External"/><Relationship Id="rId255" Type="http://schemas.openxmlformats.org/officeDocument/2006/relationships/hyperlink" Target="https://pbs.twimg.com/media/Dsrnb8aWsAAyBxR.jpg" TargetMode="External"/><Relationship Id="rId462" Type="http://schemas.openxmlformats.org/officeDocument/2006/relationships/hyperlink" Target="https://elpais.com/elpais/2018/11/21/opinion/1542806031_921444.html?id_externo_rsoc=TW_CC" TargetMode="External"/><Relationship Id="rId1092" Type="http://schemas.openxmlformats.org/officeDocument/2006/relationships/hyperlink" Target="http://www.pcasevilla.org/" TargetMode="External"/><Relationship Id="rId1397" Type="http://schemas.openxmlformats.org/officeDocument/2006/relationships/hyperlink" Target="https://elpais.com/elpais/2018/11/21/opinion/1542806031_921444.html?id_externo_rsoc=TW_CC" TargetMode="External"/><Relationship Id="rId2143" Type="http://schemas.openxmlformats.org/officeDocument/2006/relationships/hyperlink" Target="http://www.bitmomentum.com/" TargetMode="External"/><Relationship Id="rId2350" Type="http://schemas.openxmlformats.org/officeDocument/2006/relationships/hyperlink" Target="http://go.squidapp.co/n/E4ln5WN" TargetMode="External"/><Relationship Id="rId2795" Type="http://schemas.openxmlformats.org/officeDocument/2006/relationships/hyperlink" Target="https://www.elmundo.es/espana/2018/11/20/5bf407ae46163f14b08b460e.html" TargetMode="External"/><Relationship Id="rId115" Type="http://schemas.openxmlformats.org/officeDocument/2006/relationships/hyperlink" Target="https://pbs.twimg.com/media/DsrvSQ2XcAAaleq.jpg" TargetMode="External"/><Relationship Id="rId322" Type="http://schemas.openxmlformats.org/officeDocument/2006/relationships/hyperlink" Target="https://youtu.be/S_-_Mt4WHfo" TargetMode="External"/><Relationship Id="rId767" Type="http://schemas.openxmlformats.org/officeDocument/2006/relationships/hyperlink" Target="http://elpais.com/autor/claudi_perez/a/" TargetMode="External"/><Relationship Id="rId974" Type="http://schemas.openxmlformats.org/officeDocument/2006/relationships/hyperlink" Target="https://www.theguardian.com/world/ng-interactive/2018/nov/21/how-populist-are-you-quiz?CMP=share_btn_tw" TargetMode="External"/><Relationship Id="rId2003" Type="http://schemas.openxmlformats.org/officeDocument/2006/relationships/hyperlink" Target="https://goo.gl/DUjuCr?kbj64=1697983278" TargetMode="External"/><Relationship Id="rId2210" Type="http://schemas.openxmlformats.org/officeDocument/2006/relationships/hyperlink" Target="https://pbs.twimg.com/media/DshfItFXcAENNhE.jpg" TargetMode="External"/><Relationship Id="rId2448" Type="http://schemas.openxmlformats.org/officeDocument/2006/relationships/hyperlink" Target="https://www.elmundo.es/andalucia/2018/11/21/5bf46ba046163f4da28b4607.html" TargetMode="External"/><Relationship Id="rId2655" Type="http://schemas.openxmlformats.org/officeDocument/2006/relationships/hyperlink" Target="https://www.elmundo.es/economia/macroeconomia/2018/11/20/5bf43c46ca474148658b456f.html" TargetMode="External"/><Relationship Id="rId2862" Type="http://schemas.openxmlformats.org/officeDocument/2006/relationships/hyperlink" Target="https://youtu.be/LsX38asmDmU" TargetMode="External"/><Relationship Id="rId627" Type="http://schemas.openxmlformats.org/officeDocument/2006/relationships/hyperlink" Target="http://www.communia.es/" TargetMode="External"/><Relationship Id="rId834" Type="http://schemas.openxmlformats.org/officeDocument/2006/relationships/hyperlink" Target="http://pic.twitter.com/azRBCrTNqv" TargetMode="External"/><Relationship Id="rId1257" Type="http://schemas.openxmlformats.org/officeDocument/2006/relationships/hyperlink" Target="https://www.instagram.com/publimbi/?hl=es" TargetMode="External"/><Relationship Id="rId1464" Type="http://schemas.openxmlformats.org/officeDocument/2006/relationships/hyperlink" Target="https://elpais.com/elpais/2018/11/21/opinion/1542806031_921444.html" TargetMode="External"/><Relationship Id="rId1671" Type="http://schemas.openxmlformats.org/officeDocument/2006/relationships/hyperlink" Target="https://elpais.com/elpais/2018/11/21/opinion/1542806031_921444.html" TargetMode="External"/><Relationship Id="rId2308" Type="http://schemas.openxmlformats.org/officeDocument/2006/relationships/hyperlink" Target="https://pbs.twimg.com/media/DshHVt7XcAAnys_.jpg" TargetMode="External"/><Relationship Id="rId2515" Type="http://schemas.openxmlformats.org/officeDocument/2006/relationships/hyperlink" Target="http://pic.twitter.com/bnUj7zV52R" TargetMode="External"/><Relationship Id="rId2722" Type="http://schemas.openxmlformats.org/officeDocument/2006/relationships/hyperlink" Target="https://www.eldiario.es/_31f011ef" TargetMode="External"/><Relationship Id="rId901" Type="http://schemas.openxmlformats.org/officeDocument/2006/relationships/hyperlink" Target="http://pic.twitter.com/aHlmxeWSUP" TargetMode="External"/><Relationship Id="rId1117" Type="http://schemas.openxmlformats.org/officeDocument/2006/relationships/hyperlink" Target="https://www.flickr.com/photos/nevereverkano/" TargetMode="External"/><Relationship Id="rId1324" Type="http://schemas.openxmlformats.org/officeDocument/2006/relationships/hyperlink" Target="https://elpais.com/elpais/2018/11/21/opinion/1542806031_921444.html?id_externo_rsoc=TW_CC" TargetMode="External"/><Relationship Id="rId1531" Type="http://schemas.openxmlformats.org/officeDocument/2006/relationships/hyperlink" Target="http://about.me/carlos.hidalgosanchez" TargetMode="External"/><Relationship Id="rId1769" Type="http://schemas.openxmlformats.org/officeDocument/2006/relationships/hyperlink" Target="https://twitter.com/pablocasado_/status/1064961885383114754" TargetMode="External"/><Relationship Id="rId1976" Type="http://schemas.openxmlformats.org/officeDocument/2006/relationships/hyperlink" Target="http://pic.twitter.com/TGYZEArNFS" TargetMode="External"/><Relationship Id="rId30" Type="http://schemas.openxmlformats.org/officeDocument/2006/relationships/hyperlink" Target="http://www.abc.es/madrid/madrid.asp" TargetMode="External"/><Relationship Id="rId1629" Type="http://schemas.openxmlformats.org/officeDocument/2006/relationships/hyperlink" Target="https://regiondemurcia.podemos.info/secretaria-de-derechos-sociales-y-ciudadania/" TargetMode="External"/><Relationship Id="rId1836" Type="http://schemas.openxmlformats.org/officeDocument/2006/relationships/hyperlink" Target="http://pic.twitter.com/944q1mHyjN" TargetMode="External"/><Relationship Id="rId1903" Type="http://schemas.openxmlformats.org/officeDocument/2006/relationships/hyperlink" Target="http://www.cambio16.com/" TargetMode="External"/><Relationship Id="rId2098" Type="http://schemas.openxmlformats.org/officeDocument/2006/relationships/hyperlink" Target="http://www.cdtonline.es/" TargetMode="External"/><Relationship Id="rId277" Type="http://schemas.openxmlformats.org/officeDocument/2006/relationships/hyperlink" Target="https://www.elconfidencial.com/espana/2016-04-04/financiacion-ilegal-podemos-venezuela-pago-millones-pablo-iglesias-juan-carlos-monedero-jorge-vestrynge_1178845/" TargetMode="External"/><Relationship Id="rId484" Type="http://schemas.openxmlformats.org/officeDocument/2006/relationships/hyperlink" Target="http://www.hoyporhoy.es/" TargetMode="External"/><Relationship Id="rId2165" Type="http://schemas.openxmlformats.org/officeDocument/2006/relationships/hyperlink" Target="https://pbs.twimg.com/media/Dsht7AvXcAAZ--E.jpg" TargetMode="External"/><Relationship Id="rId137" Type="http://schemas.openxmlformats.org/officeDocument/2006/relationships/hyperlink" Target="https://ift.tt/2KuexRp" TargetMode="External"/><Relationship Id="rId344" Type="http://schemas.openxmlformats.org/officeDocument/2006/relationships/hyperlink" Target="https://pbs.twimg.com/media/Dsoe-UFXgAUDegR.jpg" TargetMode="External"/><Relationship Id="rId691" Type="http://schemas.openxmlformats.org/officeDocument/2006/relationships/hyperlink" Target="http://elcomunista.net/" TargetMode="External"/><Relationship Id="rId789" Type="http://schemas.openxmlformats.org/officeDocument/2006/relationships/hyperlink" Target="https://www.libertaddigital.com/espana/2018-11-22/iglesias-utiliza-el-pais-para-atacar-a-la-monarquia-una-nueva-republica-sera-la-mejor-garantia-para-una-espana-unida-1276628644/" TargetMode="External"/><Relationship Id="rId996" Type="http://schemas.openxmlformats.org/officeDocument/2006/relationships/hyperlink" Target="http://pic.twitter.com/REfaVLZCt6" TargetMode="External"/><Relationship Id="rId2025" Type="http://schemas.openxmlformats.org/officeDocument/2006/relationships/hyperlink" Target="https://www.theguardian.com/world/ng-interactive/2018/nov/21/how-populist-are-you-quiz" TargetMode="External"/><Relationship Id="rId2372" Type="http://schemas.openxmlformats.org/officeDocument/2006/relationships/hyperlink" Target="http://www.congreso.es/" TargetMode="External"/><Relationship Id="rId2677" Type="http://schemas.openxmlformats.org/officeDocument/2006/relationships/hyperlink" Target="https://pbs.twimg.com/media/DsduQ0qW0AAUynm.jpg" TargetMode="External"/><Relationship Id="rId2884" Type="http://schemas.openxmlformats.org/officeDocument/2006/relationships/hyperlink" Target="http://youtu.be/nyKcBUxQ7Ww?a" TargetMode="External"/><Relationship Id="rId551" Type="http://schemas.openxmlformats.org/officeDocument/2006/relationships/hyperlink" Target="https://casoaislado.com/abascal-vapulea-pablo-iglesias-la-monarquia-sirve-alguien-devorado-odio-no-alcance-la-jefatura-del-estado/" TargetMode="External"/><Relationship Id="rId649" Type="http://schemas.openxmlformats.org/officeDocument/2006/relationships/hyperlink" Target="http://www.izquierdaandalucista.org/" TargetMode="External"/><Relationship Id="rId856" Type="http://schemas.openxmlformats.org/officeDocument/2006/relationships/hyperlink" Target="https://pbs.twimg.com/media/DnZwX55XsAEhE2N.jpg" TargetMode="External"/><Relationship Id="rId1181" Type="http://schemas.openxmlformats.org/officeDocument/2006/relationships/hyperlink" Target="https://hombresnnombre.blogspot.com.es/" TargetMode="External"/><Relationship Id="rId1279" Type="http://schemas.openxmlformats.org/officeDocument/2006/relationships/hyperlink" Target="http://pic.twitter.com/a3SpLEHS3y" TargetMode="External"/><Relationship Id="rId1486" Type="http://schemas.openxmlformats.org/officeDocument/2006/relationships/hyperlink" Target="https://pbs.twimg.com/media/DsmIENwXcAEbwVp.jpg" TargetMode="External"/><Relationship Id="rId2232" Type="http://schemas.openxmlformats.org/officeDocument/2006/relationships/hyperlink" Target="https://pbs.twimg.com/media/DshVxU5WsAIDDZs.jpg" TargetMode="External"/><Relationship Id="rId2537" Type="http://schemas.openxmlformats.org/officeDocument/2006/relationships/hyperlink" Target="https://twitter.com/MMartinEspin/status/1038777974517063681?s=19" TargetMode="External"/><Relationship Id="rId204" Type="http://schemas.openxmlformats.org/officeDocument/2006/relationships/hyperlink" Target="http://atres.red/rz35j6" TargetMode="External"/><Relationship Id="rId411" Type="http://schemas.openxmlformats.org/officeDocument/2006/relationships/hyperlink" Target="https://www.google.es/amp/s/okdiario.com/investigacion/2016/12/12/pablo-iglesias-holocausto-fue-mero-problema-burocratico-591551/amp" TargetMode="External"/><Relationship Id="rId509" Type="http://schemas.openxmlformats.org/officeDocument/2006/relationships/hyperlink" Target="https://pbs.twimg.com/media/Dsq_CNDXcAAWRpa.jpg" TargetMode="External"/><Relationship Id="rId1041" Type="http://schemas.openxmlformats.org/officeDocument/2006/relationships/hyperlink" Target="https://elpais.com/elpais/2018/11/21/opinion/1542806031_921444.html" TargetMode="External"/><Relationship Id="rId1139" Type="http://schemas.openxmlformats.org/officeDocument/2006/relationships/hyperlink" Target="https://elpais.com/elpais/2018/11/21/opinion/1542806031_921444.html?id_externo_rsoc=TW_CC" TargetMode="External"/><Relationship Id="rId1346" Type="http://schemas.openxmlformats.org/officeDocument/2006/relationships/hyperlink" Target="http://podemos.info/" TargetMode="External"/><Relationship Id="rId1693" Type="http://schemas.openxmlformats.org/officeDocument/2006/relationships/hyperlink" Target="https://pbs.twimg.com/media/DslvkmhXgAAG_jQ.jpg" TargetMode="External"/><Relationship Id="rId1998" Type="http://schemas.openxmlformats.org/officeDocument/2006/relationships/hyperlink" Target="http://www.bitmomentum.com/" TargetMode="External"/><Relationship Id="rId2744" Type="http://schemas.openxmlformats.org/officeDocument/2006/relationships/hyperlink" Target="http://www.congreso.es/" TargetMode="External"/><Relationship Id="rId2951" Type="http://schemas.openxmlformats.org/officeDocument/2006/relationships/hyperlink" Target="https://pbs.twimg.com/media/DscqJ35WkAAzuhq.jpg" TargetMode="External"/><Relationship Id="rId716" Type="http://schemas.openxmlformats.org/officeDocument/2006/relationships/hyperlink" Target="https://twitter.com/Instituto25M/status/1065669422017327104" TargetMode="External"/><Relationship Id="rId923" Type="http://schemas.openxmlformats.org/officeDocument/2006/relationships/hyperlink" Target="https://movimientopoliticoderesistencia.blogspot.com.es/" TargetMode="External"/><Relationship Id="rId1553" Type="http://schemas.openxmlformats.org/officeDocument/2006/relationships/hyperlink" Target="https://elpais.com/elpais/2018/11/21/opinion/1542806031_921444.html?id_externo_rsoc=TW_CC" TargetMode="External"/><Relationship Id="rId1760" Type="http://schemas.openxmlformats.org/officeDocument/2006/relationships/hyperlink" Target="http://pic.twitter.com/0xORqKQotM" TargetMode="External"/><Relationship Id="rId1858" Type="http://schemas.openxmlformats.org/officeDocument/2006/relationships/hyperlink" Target="https://goo.gl/LgNNqq?xib53=9002453556" TargetMode="External"/><Relationship Id="rId2604" Type="http://schemas.openxmlformats.org/officeDocument/2006/relationships/hyperlink" Target="http://podemos.info/" TargetMode="External"/><Relationship Id="rId2811" Type="http://schemas.openxmlformats.org/officeDocument/2006/relationships/hyperlink" Target="https://www.elmundo.es/espana/2018/11/20/5bf407ae46163f14b08b460e.html" TargetMode="External"/><Relationship Id="rId52" Type="http://schemas.openxmlformats.org/officeDocument/2006/relationships/hyperlink" Target="https://pbs.twimg.com/media/DssTW0mWkAEcOi0.jpg" TargetMode="External"/><Relationship Id="rId1206" Type="http://schemas.openxmlformats.org/officeDocument/2006/relationships/hyperlink" Target="https://elpais.com/elpais/2018/11/21/opinion/1542806031_921444.html?id_externo_rsoc=TW_CC" TargetMode="External"/><Relationship Id="rId1413" Type="http://schemas.openxmlformats.org/officeDocument/2006/relationships/hyperlink" Target="http://www.hoyporhoy.es/" TargetMode="External"/><Relationship Id="rId1620" Type="http://schemas.openxmlformats.org/officeDocument/2006/relationships/hyperlink" Target="http://aaixala.blogspot.com/" TargetMode="External"/><Relationship Id="rId2909" Type="http://schemas.openxmlformats.org/officeDocument/2006/relationships/hyperlink" Target="https://www.elconfidencial.com/alma-corazon-vida/2018-06-06/medicos-salarios-precariedad-salario-dinero_1574348/" TargetMode="External"/><Relationship Id="rId1718" Type="http://schemas.openxmlformats.org/officeDocument/2006/relationships/hyperlink" Target="http://rosamariaartal.wordpress.com/" TargetMode="External"/><Relationship Id="rId1925" Type="http://schemas.openxmlformats.org/officeDocument/2006/relationships/hyperlink" Target="https://www.elconfidencial.com/espana/2018-11-18/desencanto-podemos-circulos-pablo-iglesias-carmena_1653050/" TargetMode="External"/><Relationship Id="rId299" Type="http://schemas.openxmlformats.org/officeDocument/2006/relationships/hyperlink" Target="https://pbs.twimg.com/media/Dsrh_LsXQAADtKR.jpg" TargetMode="External"/><Relationship Id="rId2187" Type="http://schemas.openxmlformats.org/officeDocument/2006/relationships/hyperlink" Target="https://www.elmundo.es/andalucia/2018/11/21/5bf46ba046163f4da28b4607.html" TargetMode="External"/><Relationship Id="rId2394" Type="http://schemas.openxmlformats.org/officeDocument/2006/relationships/hyperlink" Target="https://lapaseata.net/" TargetMode="External"/><Relationship Id="rId159" Type="http://schemas.openxmlformats.org/officeDocument/2006/relationships/hyperlink" Target="https://www.libertaddigital.com/espana/2018-11-22/iglesias-utiliza-el-pais-para-atacar-a-la-monarquia-una-nueva-republica-sera-la-mejor-garantia-para-una-espana-unida-1276628644/amp.html?__twitter_impression=true" TargetMode="External"/><Relationship Id="rId366" Type="http://schemas.openxmlformats.org/officeDocument/2006/relationships/hyperlink" Target="https://pbs.twimg.com/media/DsrHGSWV4AALNUp.jpg" TargetMode="External"/><Relationship Id="rId573" Type="http://schemas.openxmlformats.org/officeDocument/2006/relationships/hyperlink" Target="https://twitter.com/el_tylerdurden" TargetMode="External"/><Relationship Id="rId780" Type="http://schemas.openxmlformats.org/officeDocument/2006/relationships/hyperlink" Target="https://www.elconfidencial.com/espana/2016-04-04/financiacion-ilegal-podemos-venezuela-pago-millones-pablo-iglesias-juan-carlos-monedero-jorge-vestrynge_1178845/?utm_source=twitter&amp;utm_medium=social&amp;utm_campaign=BotoneraWeb" TargetMode="External"/><Relationship Id="rId2047" Type="http://schemas.openxmlformats.org/officeDocument/2006/relationships/hyperlink" Target="https://www.facebook.com/francisco.gagonieto.9" TargetMode="External"/><Relationship Id="rId2254" Type="http://schemas.openxmlformats.org/officeDocument/2006/relationships/hyperlink" Target="https://www.facebook.com/francisco.gagonieto.9" TargetMode="External"/><Relationship Id="rId2461" Type="http://schemas.openxmlformats.org/officeDocument/2006/relationships/hyperlink" Target="https://www.elmundo.es/andalucia/2018/11/21/5bf46ba046163f4da28b4607.html" TargetMode="External"/><Relationship Id="rId2699" Type="http://schemas.openxmlformats.org/officeDocument/2006/relationships/hyperlink" Target="https://youtu.be/LsX38asmDmU" TargetMode="External"/><Relationship Id="rId226" Type="http://schemas.openxmlformats.org/officeDocument/2006/relationships/hyperlink" Target="https://trib.al/yPLlmKh" TargetMode="External"/><Relationship Id="rId433" Type="http://schemas.openxmlformats.org/officeDocument/2006/relationships/hyperlink" Target="https://twitter.com/ahorapodemos/status/1065886837078720512" TargetMode="External"/><Relationship Id="rId878" Type="http://schemas.openxmlformats.org/officeDocument/2006/relationships/hyperlink" Target="https://pbs.twimg.com/media/DshJfahWsAAo_yU.jpg" TargetMode="External"/><Relationship Id="rId1063" Type="http://schemas.openxmlformats.org/officeDocument/2006/relationships/hyperlink" Target="https://www.eldiario.es/rastreador/Hermann-Tertsch-monarquia-Pablo-Iglesias_6_838576136.html" TargetMode="External"/><Relationship Id="rId1270" Type="http://schemas.openxmlformats.org/officeDocument/2006/relationships/hyperlink" Target="https://errenteriagorria.blogspot.com/2018/11/para-que-sirve-hoy-la-monarquia-pablo.html" TargetMode="External"/><Relationship Id="rId2114" Type="http://schemas.openxmlformats.org/officeDocument/2006/relationships/hyperlink" Target="https://ift.tt/2S6L8PT" TargetMode="External"/><Relationship Id="rId2559" Type="http://schemas.openxmlformats.org/officeDocument/2006/relationships/hyperlink" Target="https://pbs.twimg.com/media/Dsc7BqhX4AA3xdm.jpg" TargetMode="External"/><Relationship Id="rId2766" Type="http://schemas.openxmlformats.org/officeDocument/2006/relationships/hyperlink" Target="https://youtu.be/ixEpKFp5fKw" TargetMode="External"/><Relationship Id="rId2973" Type="http://schemas.openxmlformats.org/officeDocument/2006/relationships/hyperlink" Target="http://udec.es/" TargetMode="External"/><Relationship Id="rId640" Type="http://schemas.openxmlformats.org/officeDocument/2006/relationships/hyperlink" Target="http://www.eldiario.es/" TargetMode="External"/><Relationship Id="rId738" Type="http://schemas.openxmlformats.org/officeDocument/2006/relationships/hyperlink" Target="https://m.eldiario.es/_31fba808" TargetMode="External"/><Relationship Id="rId945" Type="http://schemas.openxmlformats.org/officeDocument/2006/relationships/hyperlink" Target="https://pbs.twimg.com/media/DsnxvEwU4AAfyDj.jpg" TargetMode="External"/><Relationship Id="rId1368" Type="http://schemas.openxmlformats.org/officeDocument/2006/relationships/hyperlink" Target="https://elpais.com/elpais/2018/11/21/opinion/1542806031_921444.html?id_externo_rsoc=TW_CC" TargetMode="External"/><Relationship Id="rId1575" Type="http://schemas.openxmlformats.org/officeDocument/2006/relationships/hyperlink" Target="http://podemos.info/" TargetMode="External"/><Relationship Id="rId1782" Type="http://schemas.openxmlformats.org/officeDocument/2006/relationships/hyperlink" Target="https://www.libertaddigital.com/chic/corazon/2018-05-19/una-herencia-de-mas-de-un-millon-de-euros-avala-la-compra-del-casoplon-de-pablo-iglesias-e-irene-montero-1276618976/" TargetMode="External"/><Relationship Id="rId2321" Type="http://schemas.openxmlformats.org/officeDocument/2006/relationships/hyperlink" Target="https://www.elsaltodiario.com/autor/roy-william-cobby" TargetMode="External"/><Relationship Id="rId2419" Type="http://schemas.openxmlformats.org/officeDocument/2006/relationships/hyperlink" Target="https://www.elmundo.es/andalucia/2018/11/21/5bf46ba046163f4da28b4607.html" TargetMode="External"/><Relationship Id="rId2626" Type="http://schemas.openxmlformats.org/officeDocument/2006/relationships/hyperlink" Target="https://youtu.be/6fSL8b_gB-Y" TargetMode="External"/><Relationship Id="rId2833" Type="http://schemas.openxmlformats.org/officeDocument/2006/relationships/hyperlink" Target="https://www.facebook.com/liliana.lopezforesi/posts/10209882927348760" TargetMode="External"/><Relationship Id="rId74" Type="http://schemas.openxmlformats.org/officeDocument/2006/relationships/hyperlink" Target="http://www.republica.com/" TargetMode="External"/><Relationship Id="rId500" Type="http://schemas.openxmlformats.org/officeDocument/2006/relationships/hyperlink" Target="http://www.themarketingplanet.com/" TargetMode="External"/><Relationship Id="rId805" Type="http://schemas.openxmlformats.org/officeDocument/2006/relationships/hyperlink" Target="https://ift.tt/2FLwTyq" TargetMode="External"/><Relationship Id="rId1130" Type="http://schemas.openxmlformats.org/officeDocument/2006/relationships/hyperlink" Target="https://curiouscat.me/_VectorToHeaven" TargetMode="External"/><Relationship Id="rId1228" Type="http://schemas.openxmlformats.org/officeDocument/2006/relationships/hyperlink" Target="http://www.facebook.com/CercleNouBarris" TargetMode="External"/><Relationship Id="rId1435" Type="http://schemas.openxmlformats.org/officeDocument/2006/relationships/hyperlink" Target="https://www.facebook.com/pablo.echenique/" TargetMode="External"/><Relationship Id="rId1642" Type="http://schemas.openxmlformats.org/officeDocument/2006/relationships/hyperlink" Target="https://pbs.twimg.com/media/Dslz2kmXQAA_dqG.jpg" TargetMode="External"/><Relationship Id="rId1947" Type="http://schemas.openxmlformats.org/officeDocument/2006/relationships/hyperlink" Target="https://www.elmundo.es/andalucia/2018/11/21/5bf46ba046163f4da28b4607.html" TargetMode="External"/><Relationship Id="rId2900" Type="http://schemas.openxmlformats.org/officeDocument/2006/relationships/hyperlink" Target="http://pic.twitter.com/NcsS2Bi3xd" TargetMode="External"/><Relationship Id="rId1502" Type="http://schemas.openxmlformats.org/officeDocument/2006/relationships/hyperlink" Target="https://pbs.twimg.com/media/DsmGbLLWsAAl5Ke.jpg" TargetMode="External"/><Relationship Id="rId1807" Type="http://schemas.openxmlformats.org/officeDocument/2006/relationships/hyperlink" Target="https://youtu.be/6-xPZQTx3pY" TargetMode="External"/><Relationship Id="rId290" Type="http://schemas.openxmlformats.org/officeDocument/2006/relationships/hyperlink" Target="https://ift.tt/2PNf2Mv" TargetMode="External"/><Relationship Id="rId388" Type="http://schemas.openxmlformats.org/officeDocument/2006/relationships/hyperlink" Target="https://pbs.twimg.com/media/DsrRT_nXoAA6aIT.jpg" TargetMode="External"/><Relationship Id="rId2069" Type="http://schemas.openxmlformats.org/officeDocument/2006/relationships/hyperlink" Target="https://pbs.twimg.com/media/DsiKzZUWoAAGGvo.jpg" TargetMode="External"/><Relationship Id="rId150" Type="http://schemas.openxmlformats.org/officeDocument/2006/relationships/hyperlink" Target="https://twitter.com/ahorapodemos/status/1065891594900045825" TargetMode="External"/><Relationship Id="rId595" Type="http://schemas.openxmlformats.org/officeDocument/2006/relationships/hyperlink" Target="https://pbs.twimg.com/media/DspQG_qW0AA5gZz.jpg" TargetMode="External"/><Relationship Id="rId2276" Type="http://schemas.openxmlformats.org/officeDocument/2006/relationships/hyperlink" Target="https://lapaseata.net/2018/11/21/basta-ya-pablo-iglesias/" TargetMode="External"/><Relationship Id="rId2483" Type="http://schemas.openxmlformats.org/officeDocument/2006/relationships/hyperlink" Target="https://twitter.com/Sevm85905886/status/1064511864082759680" TargetMode="External"/><Relationship Id="rId2690" Type="http://schemas.openxmlformats.org/officeDocument/2006/relationships/hyperlink" Target="http://www.ugtcyl.es/" TargetMode="External"/><Relationship Id="rId248" Type="http://schemas.openxmlformats.org/officeDocument/2006/relationships/hyperlink" Target="https://okdiario-com.cdn.ampproject.org/v/s/okdiario.com/espana/2018/11/23/iglesias-califica-patriotismo-extrano-defender-soberania-gibraltar-3382790/amp?amp_js_v=a2&amp;amp_gsa=1" TargetMode="External"/><Relationship Id="rId455" Type="http://schemas.openxmlformats.org/officeDocument/2006/relationships/hyperlink" Target="http://podemos.info/" TargetMode="External"/><Relationship Id="rId662" Type="http://schemas.openxmlformats.org/officeDocument/2006/relationships/hyperlink" Target="https://twitter.com/1789Libertario/status/1065726484030136320" TargetMode="External"/><Relationship Id="rId1085" Type="http://schemas.openxmlformats.org/officeDocument/2006/relationships/hyperlink" Target="http://joanflo.github.io/" TargetMode="External"/><Relationship Id="rId1292" Type="http://schemas.openxmlformats.org/officeDocument/2006/relationships/hyperlink" Target="https://elpais.com/elpais/2018/11/21/opinion/1542806031_921444.html?id_externo_rsoc=TW_CC" TargetMode="External"/><Relationship Id="rId2136" Type="http://schemas.openxmlformats.org/officeDocument/2006/relationships/hyperlink" Target="https://youtu.be/OBEluUwFIu0" TargetMode="External"/><Relationship Id="rId2343" Type="http://schemas.openxmlformats.org/officeDocument/2006/relationships/hyperlink" Target="https://ugtcyl.es/web/concedidas-las-distinciones-pablo-iglesias-2017" TargetMode="External"/><Relationship Id="rId2550" Type="http://schemas.openxmlformats.org/officeDocument/2006/relationships/hyperlink" Target="https://www.eldiario.es/politica/concluye-Policia-PP-informacion-Pujol_0_837817404.html" TargetMode="External"/><Relationship Id="rId2788" Type="http://schemas.openxmlformats.org/officeDocument/2006/relationships/hyperlink" Target="https://okdiario.com/espana/2018/11/20/pablo-iglesias-probable-que-tengamos-elecciones-muy-pronto-3371983?utm_term=Autofeed&amp;utm_campaign=ok&amp;utm_medium=Social&amp;utm_source=Twitter" TargetMode="External"/><Relationship Id="rId108" Type="http://schemas.openxmlformats.org/officeDocument/2006/relationships/hyperlink" Target="https://elpais.com/elpais/2018/11/21/opinion/1542806031_921444.amp.html" TargetMode="External"/><Relationship Id="rId315" Type="http://schemas.openxmlformats.org/officeDocument/2006/relationships/hyperlink" Target="https://www.esdiario.com/170685726/Rivera-le-recuerda-a-Iglesias-que-el-Rey-saca-mejor-nota-que-el-en-las-encuestas.html" TargetMode="External"/><Relationship Id="rId522" Type="http://schemas.openxmlformats.org/officeDocument/2006/relationships/hyperlink" Target="http://www.youtube.com/channel/UCT6Zy6dkQsfxARRlPOjbn0A" TargetMode="External"/><Relationship Id="rId967" Type="http://schemas.openxmlformats.org/officeDocument/2006/relationships/hyperlink" Target="http://enfasisperu.blogspot.com/" TargetMode="External"/><Relationship Id="rId1152" Type="http://schemas.openxmlformats.org/officeDocument/2006/relationships/hyperlink" Target="https://www.eldiario.es/_31fba808" TargetMode="External"/><Relationship Id="rId1597" Type="http://schemas.openxmlformats.org/officeDocument/2006/relationships/hyperlink" Target="https://elpais.com/elpais/2018/11/21/opinion/1542806031_921444.html" TargetMode="External"/><Relationship Id="rId2203" Type="http://schemas.openxmlformats.org/officeDocument/2006/relationships/hyperlink" Target="http://pic.twitter.com/Dn51nBPCKY" TargetMode="External"/><Relationship Id="rId2410" Type="http://schemas.openxmlformats.org/officeDocument/2006/relationships/hyperlink" Target="https://www.elmundo.es/andalucia/2018/11/21/5bf46ba046163f4da28b4607.html" TargetMode="External"/><Relationship Id="rId2648" Type="http://schemas.openxmlformats.org/officeDocument/2006/relationships/hyperlink" Target="https://bit.ly/2QaxsG0" TargetMode="External"/><Relationship Id="rId2855" Type="http://schemas.openxmlformats.org/officeDocument/2006/relationships/hyperlink" Target="https://pbs.twimg.com/media/DsdBpOvXgAMDwbU.jpg" TargetMode="External"/><Relationship Id="rId96" Type="http://schemas.openxmlformats.org/officeDocument/2006/relationships/hyperlink" Target="http://www.laizquierdadiario.com/Estado-espanol-ante-la-ola-a-favor-de-un-referendum-Pablo-Iglesias-mete-en-agenda-la-Monarquia" TargetMode="External"/><Relationship Id="rId827" Type="http://schemas.openxmlformats.org/officeDocument/2006/relationships/hyperlink" Target="https://elpais.com/elpais/2018/11/21/opinion/1542806031_921444.html?id_externo_rsoc=TW_CC" TargetMode="External"/><Relationship Id="rId1012" Type="http://schemas.openxmlformats.org/officeDocument/2006/relationships/hyperlink" Target="https://pbs.twimg.com/media/DsngVtwXcAEDFOp.jpg" TargetMode="External"/><Relationship Id="rId1457" Type="http://schemas.openxmlformats.org/officeDocument/2006/relationships/hyperlink" Target="https://elpais.com/elpais/2018/11/21/opinion/1542806031_921444.html?id_externo_rsoc=TW_CC" TargetMode="External"/><Relationship Id="rId1664" Type="http://schemas.openxmlformats.org/officeDocument/2006/relationships/hyperlink" Target="https://elpais.com/elpais/2018/11/21/opinion/1542806031_921444.html?fbclid=IwAR3nHPSAuVPStsIBF5uiSz7ydl8U_MoSbubQIU8Pmor1bbdxhCay62E60K8" TargetMode="External"/><Relationship Id="rId1871" Type="http://schemas.openxmlformats.org/officeDocument/2006/relationships/hyperlink" Target="http://gaab75.blogspot.com/" TargetMode="External"/><Relationship Id="rId2508" Type="http://schemas.openxmlformats.org/officeDocument/2006/relationships/hyperlink" Target="http://pic.twitter.com/Ikt1mhMm5N" TargetMode="External"/><Relationship Id="rId2715" Type="http://schemas.openxmlformats.org/officeDocument/2006/relationships/hyperlink" Target="https://www.lasexta.com/programas/al-rojo-vivo/entrevistas/pablo-iglesias-el-gobierno-se-habria-podido-currar-mas-que-salgan-los-pge-no-podemos-hacerlo-todo-video_201811205bf4093f0cf2abe03a75241e.html" TargetMode="External"/><Relationship Id="rId2922" Type="http://schemas.openxmlformats.org/officeDocument/2006/relationships/hyperlink" Target="https://gaceta.es/espana/rivera-lamenta-que-psoe-y-pp-hayan-querido-tomar-el-pelo-a-los-espanoles-20181120-1023/" TargetMode="External"/><Relationship Id="rId1317" Type="http://schemas.openxmlformats.org/officeDocument/2006/relationships/hyperlink" Target="http://podemos.info/" TargetMode="External"/><Relationship Id="rId1524" Type="http://schemas.openxmlformats.org/officeDocument/2006/relationships/hyperlink" Target="https://m.facebook.com/lavhl/" TargetMode="External"/><Relationship Id="rId1731" Type="http://schemas.openxmlformats.org/officeDocument/2006/relationships/hyperlink" Target="https://elpais.com/elpais/2018/11/21/opinion/1542806031_921444.html" TargetMode="External"/><Relationship Id="rId1969" Type="http://schemas.openxmlformats.org/officeDocument/2006/relationships/hyperlink" Target="http://pic.twitter.com/ANw85Q6Off" TargetMode="External"/><Relationship Id="rId23" Type="http://schemas.openxmlformats.org/officeDocument/2006/relationships/hyperlink" Target="https://ift.tt/2R33GjH" TargetMode="External"/><Relationship Id="rId1829" Type="http://schemas.openxmlformats.org/officeDocument/2006/relationships/hyperlink" Target="https://pbs.twimg.com/media/Dsj0iMJV4AE1I6E.jpg" TargetMode="External"/><Relationship Id="rId2298" Type="http://schemas.openxmlformats.org/officeDocument/2006/relationships/hyperlink" Target="http://podemos.info/" TargetMode="External"/><Relationship Id="rId172" Type="http://schemas.openxmlformats.org/officeDocument/2006/relationships/hyperlink" Target="http://www.elmundo.es/espana/2018/11/23/5bf7ccc0268e3e66388b45d4.html" TargetMode="External"/><Relationship Id="rId477" Type="http://schemas.openxmlformats.org/officeDocument/2006/relationships/hyperlink" Target="http://www.hoyporhoy.es/" TargetMode="External"/><Relationship Id="rId684" Type="http://schemas.openxmlformats.org/officeDocument/2006/relationships/hyperlink" Target="https://goo.gl/LWLbxK" TargetMode="External"/><Relationship Id="rId2060" Type="http://schemas.openxmlformats.org/officeDocument/2006/relationships/hyperlink" Target="https://pbs.twimg.com/media/DsiXUYeXcAAKtAl.jpg" TargetMode="External"/><Relationship Id="rId2158" Type="http://schemas.openxmlformats.org/officeDocument/2006/relationships/hyperlink" Target="https://okdiario.com/espana/2017/06/12/pp-obligara-iglesias-explicar-senado-cuenta-272-000-paraiso-fiscal-1068194" TargetMode="External"/><Relationship Id="rId2365" Type="http://schemas.openxmlformats.org/officeDocument/2006/relationships/hyperlink" Target="https://www.elespanol.com/espana/politica/20181121/proximos-cosido-aseguran-solo-reenvio-whatsapp-arriba/354715760_0.html" TargetMode="External"/><Relationship Id="rId337" Type="http://schemas.openxmlformats.org/officeDocument/2006/relationships/hyperlink" Target="http://www.santafe.es/" TargetMode="External"/><Relationship Id="rId891" Type="http://schemas.openxmlformats.org/officeDocument/2006/relationships/hyperlink" Target="https://pbs.twimg.com/media/Dsn9PSZWkAAgl4G.jpg" TargetMode="External"/><Relationship Id="rId989" Type="http://schemas.openxmlformats.org/officeDocument/2006/relationships/hyperlink" Target="https://pbs.twimg.com/media/DsnmL0SXoAAIGuz.jpg" TargetMode="External"/><Relationship Id="rId2018" Type="http://schemas.openxmlformats.org/officeDocument/2006/relationships/hyperlink" Target="https://twitter.com/Pablo_Iglesias_/status/1065182868538822656" TargetMode="External"/><Relationship Id="rId2572" Type="http://schemas.openxmlformats.org/officeDocument/2006/relationships/hyperlink" Target="http://gaab75.blogspot.com/" TargetMode="External"/><Relationship Id="rId2877" Type="http://schemas.openxmlformats.org/officeDocument/2006/relationships/hyperlink" Target="https://www.elmundo.es/espana/2018/11/20/5bf407ae46163f14b08b460e.html" TargetMode="External"/><Relationship Id="rId544" Type="http://schemas.openxmlformats.org/officeDocument/2006/relationships/hyperlink" Target="http://ow.ly/6zYr30mII2A" TargetMode="External"/><Relationship Id="rId751" Type="http://schemas.openxmlformats.org/officeDocument/2006/relationships/hyperlink" Target="http://www.noticias24horas.com/" TargetMode="External"/><Relationship Id="rId849" Type="http://schemas.openxmlformats.org/officeDocument/2006/relationships/hyperlink" Target="https://www.youtube.com/c/ElPeriodistaCamorrista" TargetMode="External"/><Relationship Id="rId1174" Type="http://schemas.openxmlformats.org/officeDocument/2006/relationships/hyperlink" Target="http://www.periodistadigital.com/periodismo/prensa/2018/11/22/elpais-esconde-articulo-pablo-iglesias-para-masacrar-felipe-vi-hacerle-guino-golpistas.shtml" TargetMode="External"/><Relationship Id="rId1381" Type="http://schemas.openxmlformats.org/officeDocument/2006/relationships/hyperlink" Target="http://si0.twimg.com/profile_images/216248567/che-face.jpg" TargetMode="External"/><Relationship Id="rId1479" Type="http://schemas.openxmlformats.org/officeDocument/2006/relationships/hyperlink" Target="https://elpais.com/elpais/2018/11/21/opinion/1542806031_921444.html?id_externo_rsoc=TW_CC" TargetMode="External"/><Relationship Id="rId1686" Type="http://schemas.openxmlformats.org/officeDocument/2006/relationships/hyperlink" Target="http://www.elpais.com/" TargetMode="External"/><Relationship Id="rId2225" Type="http://schemas.openxmlformats.org/officeDocument/2006/relationships/hyperlink" Target="https://youtu.be/MiXC31LRraU" TargetMode="External"/><Relationship Id="rId2432" Type="http://schemas.openxmlformats.org/officeDocument/2006/relationships/hyperlink" Target="http://iu-guillena.blogspot.com/" TargetMode="External"/><Relationship Id="rId404" Type="http://schemas.openxmlformats.org/officeDocument/2006/relationships/hyperlink" Target="https://www.elconfidencial.com/espana/madrid/2018-11-22/carmena-crisis-podemos-candidatura-mas-madrid-plataforma_1663166/?utm_source=twitter&amp;utm_medium=social&amp;utm_campaign=BotoneraWeb" TargetMode="External"/><Relationship Id="rId611" Type="http://schemas.openxmlformats.org/officeDocument/2006/relationships/hyperlink" Target="http://subversionenletras.blogspot.com/" TargetMode="External"/><Relationship Id="rId1034" Type="http://schemas.openxmlformats.org/officeDocument/2006/relationships/hyperlink" Target="https://elpais.com/elpais/2018/11/21/opinion/1542806031_921444.html?fbclid=IwAR2xjHuavla0RQT3fFMoHmwYicLVFcFlzHayxF-GIqMgT1RllIkBBJv1OMg" TargetMode="External"/><Relationship Id="rId1241" Type="http://schemas.openxmlformats.org/officeDocument/2006/relationships/hyperlink" Target="http://www.oficinavirtualhoy.com/" TargetMode="External"/><Relationship Id="rId1339" Type="http://schemas.openxmlformats.org/officeDocument/2006/relationships/hyperlink" Target="https://elpais.com/elpais/2018/11/21/opinion/1542806031_921444.html?id_externo_rsoc=TW_CC" TargetMode="External"/><Relationship Id="rId1893" Type="http://schemas.openxmlformats.org/officeDocument/2006/relationships/hyperlink" Target="https://twitter.com/Laenredadera/status/1065286450428739584" TargetMode="External"/><Relationship Id="rId2737" Type="http://schemas.openxmlformats.org/officeDocument/2006/relationships/hyperlink" Target="http://www.bit.ly/CazaEsViolencia" TargetMode="External"/><Relationship Id="rId2944" Type="http://schemas.openxmlformats.org/officeDocument/2006/relationships/hyperlink" Target="https://pbs.twimg.com/media/DscqapnXcAAiq4a.jpg" TargetMode="External"/><Relationship Id="rId709" Type="http://schemas.openxmlformats.org/officeDocument/2006/relationships/hyperlink" Target="https://elpais.com/elpais/2018/11/21/opinion/1542806031_921444.html?id_externo_rsoc=TW_CC" TargetMode="External"/><Relationship Id="rId916" Type="http://schemas.openxmlformats.org/officeDocument/2006/relationships/hyperlink" Target="http://tusitala.tumblr.com/" TargetMode="External"/><Relationship Id="rId1101" Type="http://schemas.openxmlformats.org/officeDocument/2006/relationships/hyperlink" Target="https://pbs.twimg.com/media/DsnI3F4U0Ac8l07.jpg" TargetMode="External"/><Relationship Id="rId1546" Type="http://schemas.openxmlformats.org/officeDocument/2006/relationships/hyperlink" Target="https://elpais.com/elpais/2018/11/21/opinion/1542806031_921444.html" TargetMode="External"/><Relationship Id="rId1753" Type="http://schemas.openxmlformats.org/officeDocument/2006/relationships/hyperlink" Target="https://elpais.com/elpais/2018/11/21/opinion/1542806031_921444.html?id_externo_rsoc=TW_CC" TargetMode="External"/><Relationship Id="rId1960" Type="http://schemas.openxmlformats.org/officeDocument/2006/relationships/hyperlink" Target="https://podemos.info/" TargetMode="External"/><Relationship Id="rId2804" Type="http://schemas.openxmlformats.org/officeDocument/2006/relationships/hyperlink" Target="http://pic.twitter.com/ijYEiPTvoL" TargetMode="External"/><Relationship Id="rId45" Type="http://schemas.openxmlformats.org/officeDocument/2006/relationships/hyperlink" Target="https://www.facebook.com/victoriandres" TargetMode="External"/><Relationship Id="rId1406" Type="http://schemas.openxmlformats.org/officeDocument/2006/relationships/hyperlink" Target="http://pcpe.es/" TargetMode="External"/><Relationship Id="rId1613" Type="http://schemas.openxmlformats.org/officeDocument/2006/relationships/hyperlink" Target="https://elpais.com/elpais/2018/11/21/opinion/1542806031_921444.html?id_externo_rsoc=TW_CC" TargetMode="External"/><Relationship Id="rId1820" Type="http://schemas.openxmlformats.org/officeDocument/2006/relationships/hyperlink" Target="https://pbs.twimg.com/media/Dsj5jHEVYAADYO2.jpg" TargetMode="External"/><Relationship Id="rId194" Type="http://schemas.openxmlformats.org/officeDocument/2006/relationships/hyperlink" Target="http://podemos.info/" TargetMode="External"/><Relationship Id="rId1918" Type="http://schemas.openxmlformats.org/officeDocument/2006/relationships/hyperlink" Target="https://pbs.twimg.com/media/DsjRkz7WoAM797p.jpg" TargetMode="External"/><Relationship Id="rId2082" Type="http://schemas.openxmlformats.org/officeDocument/2006/relationships/hyperlink" Target="http://youtu.be/ztDk7V5XDiw?a" TargetMode="External"/><Relationship Id="rId261" Type="http://schemas.openxmlformats.org/officeDocument/2006/relationships/hyperlink" Target="https://okdiario-com.cdn.ampproject.org/v/s/okdiario.com/espana/2018/11/23/iglesias-califica-patriotismo-extrano-defender-soberania-gibraltar-3382790/amp?amp_js_v=a2&amp;amp_gsa=1" TargetMode="External"/><Relationship Id="rId499" Type="http://schemas.openxmlformats.org/officeDocument/2006/relationships/hyperlink" Target="https://pbs.twimg.com/media/Dsn1IhTXQAAbinP.jpg" TargetMode="External"/><Relationship Id="rId2387" Type="http://schemas.openxmlformats.org/officeDocument/2006/relationships/hyperlink" Target="https://twitter.com/gulagdark/status/1064812975339569153" TargetMode="External"/><Relationship Id="rId2594" Type="http://schemas.openxmlformats.org/officeDocument/2006/relationships/hyperlink" Target="https://www.elmundo.es/espana/2018/11/20/5bf407ae46163f14b08b460e.html" TargetMode="External"/><Relationship Id="rId359" Type="http://schemas.openxmlformats.org/officeDocument/2006/relationships/hyperlink" Target="https://pbs.twimg.com/media/DsrYo2OXoAAEv02.jpg" TargetMode="External"/><Relationship Id="rId566" Type="http://schemas.openxmlformats.org/officeDocument/2006/relationships/hyperlink" Target="https://www.facebook.com/emirmontoya" TargetMode="External"/><Relationship Id="rId773" Type="http://schemas.openxmlformats.org/officeDocument/2006/relationships/hyperlink" Target="http://sugarra.blogspot.com/" TargetMode="External"/><Relationship Id="rId1196" Type="http://schemas.openxmlformats.org/officeDocument/2006/relationships/hyperlink" Target="https://ift.tt/2PMIAd1" TargetMode="External"/><Relationship Id="rId2247" Type="http://schemas.openxmlformats.org/officeDocument/2006/relationships/hyperlink" Target="https://pbs.twimg.com/media/DshSF1EW0AAY5PM.jpg" TargetMode="External"/><Relationship Id="rId2454" Type="http://schemas.openxmlformats.org/officeDocument/2006/relationships/hyperlink" Target="https://www.elmundo.es/andalucia/2018/11/21/5bf46ba046163f4da28b4607.html" TargetMode="External"/><Relationship Id="rId2899" Type="http://schemas.openxmlformats.org/officeDocument/2006/relationships/hyperlink" Target="https://goo.gl/kgupDT?nax42=7936916164" TargetMode="External"/><Relationship Id="rId121" Type="http://schemas.openxmlformats.org/officeDocument/2006/relationships/hyperlink" Target="https://www.libertaddigital.com/opinion/emilio-campmany/monarquia-para-que-86551/" TargetMode="External"/><Relationship Id="rId219" Type="http://schemas.openxmlformats.org/officeDocument/2006/relationships/hyperlink" Target="https://itunes.apple.com/es/book/gettysburg-1863/id665369445?mt=11" TargetMode="External"/><Relationship Id="rId426" Type="http://schemas.openxmlformats.org/officeDocument/2006/relationships/hyperlink" Target="http://pic.twitter.com/MATz0TZm6b" TargetMode="External"/><Relationship Id="rId633" Type="http://schemas.openxmlformats.org/officeDocument/2006/relationships/hyperlink" Target="https://twitter.com/rouco64/status/1065532138798366720" TargetMode="External"/><Relationship Id="rId980" Type="http://schemas.openxmlformats.org/officeDocument/2006/relationships/hyperlink" Target="https://pbs.twimg.com/media/DsnWYHQXoAEfoMY.jpg" TargetMode="External"/><Relationship Id="rId1056" Type="http://schemas.openxmlformats.org/officeDocument/2006/relationships/hyperlink" Target="https://perdidue.com/2018/11/20/la-realidad-de-muchos-centros-sanitarios-en-espana-que-los-pacientes-teneis-que-conocer/" TargetMode="External"/><Relationship Id="rId1263" Type="http://schemas.openxmlformats.org/officeDocument/2006/relationships/hyperlink" Target="http://paradojasysinsentidos.blogspot.com/" TargetMode="External"/><Relationship Id="rId2107" Type="http://schemas.openxmlformats.org/officeDocument/2006/relationships/hyperlink" Target="https://ift.tt/2KnwlO0" TargetMode="External"/><Relationship Id="rId2314" Type="http://schemas.openxmlformats.org/officeDocument/2006/relationships/hyperlink" Target="https://t.me/SecretariaDeEconomia" TargetMode="External"/><Relationship Id="rId2661" Type="http://schemas.openxmlformats.org/officeDocument/2006/relationships/hyperlink" Target="https://okdiario.com/general/2018/11/20/pedro-sanchez-presenta-sus-respetos-franco-marruecos-mohamed-v-mausoleo-3369733?utm_term=Autofeed&amp;utm_campaign=ok&amp;utm_medium=Social&amp;utm_source=Twitter" TargetMode="External"/><Relationship Id="rId2759" Type="http://schemas.openxmlformats.org/officeDocument/2006/relationships/hyperlink" Target="https://pbs.twimg.com/media/Dsdc4GhWoAUiZJN.jpg" TargetMode="External"/><Relationship Id="rId2966" Type="http://schemas.openxmlformats.org/officeDocument/2006/relationships/hyperlink" Target="http://www.gallegorey.wordpress.com/" TargetMode="External"/><Relationship Id="rId840" Type="http://schemas.openxmlformats.org/officeDocument/2006/relationships/hyperlink" Target="https://elpais.com/elpais/2018/11/21/opinion/1542806031_921444.amp.html?__twitter_impression=true" TargetMode="External"/><Relationship Id="rId938" Type="http://schemas.openxmlformats.org/officeDocument/2006/relationships/hyperlink" Target="https://pbs.twimg.com/media/Dsn0cXlWsAA0pSk.jpg" TargetMode="External"/><Relationship Id="rId1470" Type="http://schemas.openxmlformats.org/officeDocument/2006/relationships/hyperlink" Target="https://elpais.com/elpais/2018/11/21/opinion/1542806031_921444.html" TargetMode="External"/><Relationship Id="rId1568" Type="http://schemas.openxmlformats.org/officeDocument/2006/relationships/hyperlink" Target="https://elpais.com/elpais/2018/11/21/opinion/1542806031_921444.html?id_externo_rsoc=TW_CC" TargetMode="External"/><Relationship Id="rId1775" Type="http://schemas.openxmlformats.org/officeDocument/2006/relationships/hyperlink" Target="https://www.youtube.com/attribution_link?a=94ntHQcW06w&amp;u=%2Fwatch%3Fv%3Db5exsq4TtYA%26feature%3Dshare" TargetMode="External"/><Relationship Id="rId2521" Type="http://schemas.openxmlformats.org/officeDocument/2006/relationships/hyperlink" Target="http://pic.twitter.com/jpzSxFT2PB" TargetMode="External"/><Relationship Id="rId2619" Type="http://schemas.openxmlformats.org/officeDocument/2006/relationships/hyperlink" Target="https://pbs.twimg.com/media/DseAmqWWkAEr3eR.jpg" TargetMode="External"/><Relationship Id="rId2826" Type="http://schemas.openxmlformats.org/officeDocument/2006/relationships/hyperlink" Target="https://okdiario.com/espana/2018/11/20/pablo-iglesias-probable-que-tengamos-elecciones-muy-pronto-3371983?utm_term=Autofeed&amp;utm_campaign=ok&amp;utm_medium=Social&amp;utm_source=Twitter" TargetMode="External"/><Relationship Id="rId67" Type="http://schemas.openxmlformats.org/officeDocument/2006/relationships/hyperlink" Target="https://noticierouniversal.com/actualidad/pablo-iglesias-el-chepas-dice-que-no-apoyara-a-pedro-sanchez-si-defiende-la-espanolidad-de-gibraltar-ante-el-reino-unido/" TargetMode="External"/><Relationship Id="rId700" Type="http://schemas.openxmlformats.org/officeDocument/2006/relationships/hyperlink" Target="http://pic.twitter.com/Qm94iFboLO" TargetMode="External"/><Relationship Id="rId1123" Type="http://schemas.openxmlformats.org/officeDocument/2006/relationships/hyperlink" Target="https://pbs.twimg.com/media/DsjXWQiWsAE6meR.jpg" TargetMode="External"/><Relationship Id="rId1330" Type="http://schemas.openxmlformats.org/officeDocument/2006/relationships/hyperlink" Target="https://elpais.com/elpais/2018/11/21/opinion/1542806031_921444.html?id_externo_rsoc=TW_CC" TargetMode="External"/><Relationship Id="rId1428" Type="http://schemas.openxmlformats.org/officeDocument/2006/relationships/hyperlink" Target="https://pbs.twimg.com/media/DsmPgycWwAEzyJ4.jpg" TargetMode="External"/><Relationship Id="rId1635" Type="http://schemas.openxmlformats.org/officeDocument/2006/relationships/hyperlink" Target="https://elpais.com/elpais/2018/11/21/opinion/1542806031_921444.html" TargetMode="External"/><Relationship Id="rId1982" Type="http://schemas.openxmlformats.org/officeDocument/2006/relationships/hyperlink" Target="http://pic.twitter.com/FrSTdj7WOd" TargetMode="External"/><Relationship Id="rId1842" Type="http://schemas.openxmlformats.org/officeDocument/2006/relationships/hyperlink" Target="http://youtu.be/vqX67AnoYaM?a" TargetMode="External"/><Relationship Id="rId1702" Type="http://schemas.openxmlformats.org/officeDocument/2006/relationships/hyperlink" Target="https://pbs.twimg.com/media/DslubFQXQAAofAn.jpg" TargetMode="External"/><Relationship Id="rId283" Type="http://schemas.openxmlformats.org/officeDocument/2006/relationships/hyperlink" Target="https://youtu.be/73Bs3-62J9w" TargetMode="External"/><Relationship Id="rId490" Type="http://schemas.openxmlformats.org/officeDocument/2006/relationships/hyperlink" Target="http://www.hoyporhoy.es/" TargetMode="External"/><Relationship Id="rId2171" Type="http://schemas.openxmlformats.org/officeDocument/2006/relationships/hyperlink" Target="http://www.kaosenlared.net/" TargetMode="External"/><Relationship Id="rId143" Type="http://schemas.openxmlformats.org/officeDocument/2006/relationships/hyperlink" Target="https://pbs.twimg.com/media/Dsr6_ZXX4AANgIp.jpg" TargetMode="External"/><Relationship Id="rId350" Type="http://schemas.openxmlformats.org/officeDocument/2006/relationships/hyperlink" Target="http://cadenaser.com/programa/2018/11/22/hoy_por_hoy/1542900365_285470.html?ssm=tw" TargetMode="External"/><Relationship Id="rId588" Type="http://schemas.openxmlformats.org/officeDocument/2006/relationships/hyperlink" Target="https://pbs.twimg.com/media/DspWvc_VAAAchm-.jpg" TargetMode="External"/><Relationship Id="rId795" Type="http://schemas.openxmlformats.org/officeDocument/2006/relationships/hyperlink" Target="https://elpais.com/elpais/2018/11/21/opinion/1542806031_921444.html?id_externo_rsoc=TW_CC" TargetMode="External"/><Relationship Id="rId2031" Type="http://schemas.openxmlformats.org/officeDocument/2006/relationships/hyperlink" Target="http://pic.twitter.com/q9Ev3tjmR9" TargetMode="External"/><Relationship Id="rId2269" Type="http://schemas.openxmlformats.org/officeDocument/2006/relationships/hyperlink" Target="https://pbs.twimg.com/media/DshJpj6XQAAAkBh.jpg" TargetMode="External"/><Relationship Id="rId2476" Type="http://schemas.openxmlformats.org/officeDocument/2006/relationships/hyperlink" Target="https://twitter.com/danicaballero90/status/1065025808266379264" TargetMode="External"/><Relationship Id="rId2683" Type="http://schemas.openxmlformats.org/officeDocument/2006/relationships/hyperlink" Target="https://trib.al/8JLUj7T" TargetMode="External"/><Relationship Id="rId2890" Type="http://schemas.openxmlformats.org/officeDocument/2006/relationships/hyperlink" Target="http://www.redaccionmedica.com/" TargetMode="External"/><Relationship Id="rId9" Type="http://schemas.openxmlformats.org/officeDocument/2006/relationships/hyperlink" Target="https://pbs.twimg.com/media/Dssf0CKXoAAEEwn.jpg" TargetMode="External"/><Relationship Id="rId210" Type="http://schemas.openxmlformats.org/officeDocument/2006/relationships/hyperlink" Target="http://pic.twitter.com/Bj7kNojYVg" TargetMode="External"/><Relationship Id="rId448" Type="http://schemas.openxmlformats.org/officeDocument/2006/relationships/hyperlink" Target="https://pbs.twimg.com/media/DsrJeCIVAAARtXg.jpg" TargetMode="External"/><Relationship Id="rId655" Type="http://schemas.openxmlformats.org/officeDocument/2006/relationships/hyperlink" Target="https://twitter.com/pnique/status/1064925019451678720" TargetMode="External"/><Relationship Id="rId862" Type="http://schemas.openxmlformats.org/officeDocument/2006/relationships/hyperlink" Target="https://pbs.twimg.com/media/DsmaK5yWkAAQhqH.jpg" TargetMode="External"/><Relationship Id="rId1078" Type="http://schemas.openxmlformats.org/officeDocument/2006/relationships/hyperlink" Target="https://elpais.com/elpais/2018/11/21/opinion/1542806031_921444.html?id_externo_rsoc=TW_CC" TargetMode="External"/><Relationship Id="rId1285" Type="http://schemas.openxmlformats.org/officeDocument/2006/relationships/hyperlink" Target="http://podemos.info/" TargetMode="External"/><Relationship Id="rId1492" Type="http://schemas.openxmlformats.org/officeDocument/2006/relationships/hyperlink" Target="https://elpais.com/elpais/2018/11/21/opinion/1542806031_921444.amp.html" TargetMode="External"/><Relationship Id="rId2129" Type="http://schemas.openxmlformats.org/officeDocument/2006/relationships/hyperlink" Target="https://www.periodistadigital.com/economia/empleo/2018/11/21/guardai-civil-el-ministro-marlaska-deniega-los-permisos-de-navidad-a-los-agentes-destinados-en-cataluna.shtml" TargetMode="External"/><Relationship Id="rId2336" Type="http://schemas.openxmlformats.org/officeDocument/2006/relationships/hyperlink" Target="https://youtu.be/h6xzjxQTueE" TargetMode="External"/><Relationship Id="rId2543" Type="http://schemas.openxmlformats.org/officeDocument/2006/relationships/hyperlink" Target="https://goo.gl/wPvv1j?ljq89=1164343211" TargetMode="External"/><Relationship Id="rId2750" Type="http://schemas.openxmlformats.org/officeDocument/2006/relationships/hyperlink" Target="https://pbs.twimg.com/media/DsX7PqNWsAArLxH.jpg" TargetMode="External"/><Relationship Id="rId2988" Type="http://schemas.openxmlformats.org/officeDocument/2006/relationships/hyperlink" Target="https://www.facebook.com/victoriandres" TargetMode="External"/><Relationship Id="rId308" Type="http://schemas.openxmlformats.org/officeDocument/2006/relationships/hyperlink" Target="https://www.eldiario.es/_31fba808" TargetMode="External"/><Relationship Id="rId515" Type="http://schemas.openxmlformats.org/officeDocument/2006/relationships/hyperlink" Target="https://uah-es.academia.edu/DiegoGasparCelaya" TargetMode="External"/><Relationship Id="rId722" Type="http://schemas.openxmlformats.org/officeDocument/2006/relationships/hyperlink" Target="http://rosamariaartal.wordpress.com/" TargetMode="External"/><Relationship Id="rId1145" Type="http://schemas.openxmlformats.org/officeDocument/2006/relationships/hyperlink" Target="https://elpais.com/elpais/2018/11/21/opinion/1542806031_921444.html?id_externo_rsoc=TW_CC" TargetMode="External"/><Relationship Id="rId1352" Type="http://schemas.openxmlformats.org/officeDocument/2006/relationships/hyperlink" Target="http://elpais.com/elpais/opinion.html" TargetMode="External"/><Relationship Id="rId1797" Type="http://schemas.openxmlformats.org/officeDocument/2006/relationships/hyperlink" Target="https://pbs.twimg.com/media/DskI2fmXQAIcKsu.jpg" TargetMode="External"/><Relationship Id="rId2403" Type="http://schemas.openxmlformats.org/officeDocument/2006/relationships/hyperlink" Target="https://pbs.twimg.com/media/DsgnohRWkAMwJVK.jpg" TargetMode="External"/><Relationship Id="rId2848" Type="http://schemas.openxmlformats.org/officeDocument/2006/relationships/hyperlink" Target="https://twitter.com/OdinT707/status/1064892657586049024" TargetMode="External"/><Relationship Id="rId89" Type="http://schemas.openxmlformats.org/officeDocument/2006/relationships/hyperlink" Target="http://atres.red/4ncii5744" TargetMode="External"/><Relationship Id="rId1005" Type="http://schemas.openxmlformats.org/officeDocument/2006/relationships/hyperlink" Target="https://elpais.com/elpais/2018/11/21/opinion/1542806031_921444.html?id_externo_rsoc=TW_CC" TargetMode="External"/><Relationship Id="rId1212" Type="http://schemas.openxmlformats.org/officeDocument/2006/relationships/hyperlink" Target="https://www.europapress.es/nacional/noticia-rivera-recalca-iglesias-problema-espana-no-monarquia-populismo-20181122130813.html" TargetMode="External"/><Relationship Id="rId1657" Type="http://schemas.openxmlformats.org/officeDocument/2006/relationships/hyperlink" Target="https://elpais.com/elpais/2018/11/21/opinion/1542806031_921444.html?id_externo_rsoc=TW_CC" TargetMode="External"/><Relationship Id="rId1864" Type="http://schemas.openxmlformats.org/officeDocument/2006/relationships/hyperlink" Target="http://www.bitmomentum.com/" TargetMode="External"/><Relationship Id="rId2610" Type="http://schemas.openxmlformats.org/officeDocument/2006/relationships/hyperlink" Target="http://www.tribunasalamanca.com/" TargetMode="External"/><Relationship Id="rId2708" Type="http://schemas.openxmlformats.org/officeDocument/2006/relationships/hyperlink" Target="https://www.periodistadigital.com/economia/vivienda/2018/11/19/el-registro-de-galapagar-oculta-los-datos-del-chalet-millonario-de-pablo-iglesias.shtml" TargetMode="External"/><Relationship Id="rId2915" Type="http://schemas.openxmlformats.org/officeDocument/2006/relationships/hyperlink" Target="https://www.facebook.com/redhostel/" TargetMode="External"/><Relationship Id="rId1517" Type="http://schemas.openxmlformats.org/officeDocument/2006/relationships/hyperlink" Target="http://pic.twitter.com/mTZy6fpxXK" TargetMode="External"/><Relationship Id="rId1724" Type="http://schemas.openxmlformats.org/officeDocument/2006/relationships/hyperlink" Target="https://elpais.com/elpais/2018/11/21/opinion/1542806031_921444.html?id_externo_rsoc=TW_CC" TargetMode="External"/><Relationship Id="rId16" Type="http://schemas.openxmlformats.org/officeDocument/2006/relationships/hyperlink" Target="https://pbs.twimg.com/media/DssejYmXgAAXQWX.jpg" TargetMode="External"/><Relationship Id="rId1931" Type="http://schemas.openxmlformats.org/officeDocument/2006/relationships/hyperlink" Target="http://goo.gl/Uor9D8" TargetMode="External"/><Relationship Id="rId2193" Type="http://schemas.openxmlformats.org/officeDocument/2006/relationships/hyperlink" Target="https://pbs.twimg.com/media/DshhZKnXcAA-SH8.jpg" TargetMode="External"/><Relationship Id="rId2498" Type="http://schemas.openxmlformats.org/officeDocument/2006/relationships/hyperlink" Target="https://pbs.twimg.com/media/DsebCCEXoAEjZtq.jpg" TargetMode="External"/><Relationship Id="rId165" Type="http://schemas.openxmlformats.org/officeDocument/2006/relationships/hyperlink" Target="https://pbs.twimg.com/media/Dsr2KEnXoAAeKgj.jpg" TargetMode="External"/><Relationship Id="rId372" Type="http://schemas.openxmlformats.org/officeDocument/2006/relationships/hyperlink" Target="http://www.europapress.es/andalucia/" TargetMode="External"/><Relationship Id="rId677" Type="http://schemas.openxmlformats.org/officeDocument/2006/relationships/hyperlink" Target="https://elpais.com/elpais/2018/11/21/opinion/1542806031_921444.html" TargetMode="External"/><Relationship Id="rId2053" Type="http://schemas.openxmlformats.org/officeDocument/2006/relationships/hyperlink" Target="http://www.bitmomentum.com/" TargetMode="External"/><Relationship Id="rId2260" Type="http://schemas.openxmlformats.org/officeDocument/2006/relationships/hyperlink" Target="http://www.dimonisrafolins.com/" TargetMode="External"/><Relationship Id="rId2358" Type="http://schemas.openxmlformats.org/officeDocument/2006/relationships/hyperlink" Target="http://podemos.info/" TargetMode="External"/><Relationship Id="rId232" Type="http://schemas.openxmlformats.org/officeDocument/2006/relationships/hyperlink" Target="https://okdiario.com/espana/2018/11/23/iglesias-recuerda-manuela-carmena-que-fue-podemos-quien-propuso-alcaldesa-pide-generosidad-3382897" TargetMode="External"/><Relationship Id="rId884" Type="http://schemas.openxmlformats.org/officeDocument/2006/relationships/hyperlink" Target="https://pbs.twimg.com/media/Dsnj5ODXoAEq12l.jpg" TargetMode="External"/><Relationship Id="rId2120" Type="http://schemas.openxmlformats.org/officeDocument/2006/relationships/hyperlink" Target="https://kaosenlared.net/pablo-iglesiasla-bandera-tricolor-es-el-simbolo-de-los-perdedores-y-no-volvera-a-resurgir/" TargetMode="External"/><Relationship Id="rId2565" Type="http://schemas.openxmlformats.org/officeDocument/2006/relationships/hyperlink" Target="https://pbs.twimg.com/media/Dsdo7VSWwAczNNK.jpg" TargetMode="External"/><Relationship Id="rId2772" Type="http://schemas.openxmlformats.org/officeDocument/2006/relationships/hyperlink" Target="http://instagram.com/mery_fm12" TargetMode="External"/><Relationship Id="rId537" Type="http://schemas.openxmlformats.org/officeDocument/2006/relationships/hyperlink" Target="https://pbs.twimg.com/media/DsqvB6JXoAEyMqt.jpg" TargetMode="External"/><Relationship Id="rId744" Type="http://schemas.openxmlformats.org/officeDocument/2006/relationships/hyperlink" Target="https://youtu.be/dAunrj9ZuP0" TargetMode="External"/><Relationship Id="rId951" Type="http://schemas.openxmlformats.org/officeDocument/2006/relationships/hyperlink" Target="https://elpais.com/elpais/2018/11/21/opinion/1542806031_921444.html" TargetMode="External"/><Relationship Id="rId1167" Type="http://schemas.openxmlformats.org/officeDocument/2006/relationships/hyperlink" Target="https://elpais.com/elpais/2018/11/21/opinion/1542806031_921444.html?id_externo_rsoc=TW_CC" TargetMode="External"/><Relationship Id="rId1374" Type="http://schemas.openxmlformats.org/officeDocument/2006/relationships/hyperlink" Target="http://cantabria.podemos.info/" TargetMode="External"/><Relationship Id="rId1581" Type="http://schemas.openxmlformats.org/officeDocument/2006/relationships/hyperlink" Target="https://pbs.twimg.com/media/Dsl8x6HXgAER6zl.jpg" TargetMode="External"/><Relationship Id="rId1679" Type="http://schemas.openxmlformats.org/officeDocument/2006/relationships/hyperlink" Target="https://pbs.twimg.com/media/DslubFQXQAAofAn.jpg" TargetMode="External"/><Relationship Id="rId2218" Type="http://schemas.openxmlformats.org/officeDocument/2006/relationships/hyperlink" Target="https://www.economiadigital.es/finanzas-y-macro/sanchez-pospone-la-venta-de-bankia-pero-no-sacia-a-podemos_590039_102.html" TargetMode="External"/><Relationship Id="rId2425" Type="http://schemas.openxmlformats.org/officeDocument/2006/relationships/hyperlink" Target="https://www.youtube.com/attribution_link?a=x7zRCqFNiYo&amp;u=%2Fwatch%3Fv%3DijwoGa3Hfmw%26feature%3Dshare" TargetMode="External"/><Relationship Id="rId2632" Type="http://schemas.openxmlformats.org/officeDocument/2006/relationships/hyperlink" Target="https://www.elmundo.es/espana/2018/11/20/5bf407ae46163f14b08b460e.html" TargetMode="External"/><Relationship Id="rId80" Type="http://schemas.openxmlformats.org/officeDocument/2006/relationships/hyperlink" Target="http://www.redfloridablanca.es/" TargetMode="External"/><Relationship Id="rId604" Type="http://schemas.openxmlformats.org/officeDocument/2006/relationships/hyperlink" Target="https://pbs.twimg.com/media/DspMMM1WwAALhck.jpg" TargetMode="External"/><Relationship Id="rId811" Type="http://schemas.openxmlformats.org/officeDocument/2006/relationships/hyperlink" Target="https://twitter.com/ldpsincomplejos/status/1065607926079983616" TargetMode="External"/><Relationship Id="rId1027" Type="http://schemas.openxmlformats.org/officeDocument/2006/relationships/hyperlink" Target="https://www.larazon.es/espana/espana-y-reino-unido-cierran-una-preacuerdo-sobre-gibraltar-LG20628434" TargetMode="External"/><Relationship Id="rId1234" Type="http://schemas.openxmlformats.org/officeDocument/2006/relationships/hyperlink" Target="http://youtu.be/jluhSmkwN_s?a" TargetMode="External"/><Relationship Id="rId1441" Type="http://schemas.openxmlformats.org/officeDocument/2006/relationships/hyperlink" Target="https://elpais.com/elpais/2018/11/21/opinion/1542806031_921444.html?id_externo_rsoc=TW_CC" TargetMode="External"/><Relationship Id="rId1886" Type="http://schemas.openxmlformats.org/officeDocument/2006/relationships/hyperlink" Target="http://serraniadepalabras.blogspot.com/" TargetMode="External"/><Relationship Id="rId2937" Type="http://schemas.openxmlformats.org/officeDocument/2006/relationships/hyperlink" Target="https://www.elconfidencial.com/espana/2018-11-18/desencanto-podemos-circulos-pablo-iglesias-carmena_1653050/" TargetMode="External"/><Relationship Id="rId909" Type="http://schemas.openxmlformats.org/officeDocument/2006/relationships/hyperlink" Target="https://www.instagram.com/senkami_trash/?hl=es" TargetMode="External"/><Relationship Id="rId1301" Type="http://schemas.openxmlformats.org/officeDocument/2006/relationships/hyperlink" Target="https://pbs.twimg.com/media/DsmgHMhUcAA6O2J.jpg" TargetMode="External"/><Relationship Id="rId1539" Type="http://schemas.openxmlformats.org/officeDocument/2006/relationships/hyperlink" Target="https://pbs.twimg.com/media/DsmCHG8WkAAkSxQ.jpg" TargetMode="External"/><Relationship Id="rId1746" Type="http://schemas.openxmlformats.org/officeDocument/2006/relationships/hyperlink" Target="https://pbs.twimg.com/media/DslameFWoAA_kNE.jpg" TargetMode="External"/><Relationship Id="rId1953" Type="http://schemas.openxmlformats.org/officeDocument/2006/relationships/hyperlink" Target="https://twitter.com/josepramonbosch/status/1065264277123153920" TargetMode="External"/><Relationship Id="rId38" Type="http://schemas.openxmlformats.org/officeDocument/2006/relationships/hyperlink" Target="https://okdiario-com.cdn.ampproject.org/v/s/okdiario.com/espana/2018/11/23/iglesias-califica-patriotismo-extrano-defender-soberania-gibraltar-3382790/amp?amp_js_v=a2&amp;amp_gsa=1" TargetMode="External"/><Relationship Id="rId1606" Type="http://schemas.openxmlformats.org/officeDocument/2006/relationships/hyperlink" Target="https://elpais.com/elpais/2018/11/21/opinion/1542806031_921444.html" TargetMode="External"/><Relationship Id="rId1813" Type="http://schemas.openxmlformats.org/officeDocument/2006/relationships/hyperlink" Target="https://twitter.com/jesusmedinae/status/975656805501194240" TargetMode="External"/><Relationship Id="rId187" Type="http://schemas.openxmlformats.org/officeDocument/2006/relationships/hyperlink" Target="https://comentaconjose.blogspot.com.es/" TargetMode="External"/><Relationship Id="rId394" Type="http://schemas.openxmlformats.org/officeDocument/2006/relationships/hyperlink" Target="https://pbs.twimg.com/media/DsrRIWxX4AALIKU.jpg" TargetMode="External"/><Relationship Id="rId2075" Type="http://schemas.openxmlformats.org/officeDocument/2006/relationships/hyperlink" Target="https://youtu.be/dJQamM0sPOk" TargetMode="External"/><Relationship Id="rId2282" Type="http://schemas.openxmlformats.org/officeDocument/2006/relationships/hyperlink" Target="https://pbs.twimg.com/media/DshL85IWkAANdy2.jpg" TargetMode="External"/><Relationship Id="rId254" Type="http://schemas.openxmlformats.org/officeDocument/2006/relationships/hyperlink" Target="https://m.eldiario.es/_31fba808" TargetMode="External"/><Relationship Id="rId699" Type="http://schemas.openxmlformats.org/officeDocument/2006/relationships/hyperlink" Target="https://twitter.com/nnggmadrid/status/1065669726809010178" TargetMode="External"/><Relationship Id="rId1091" Type="http://schemas.openxmlformats.org/officeDocument/2006/relationships/hyperlink" Target="https://www.ticketbell.com/musica/mitin-adelante-andalucia-en-sevilla" TargetMode="External"/><Relationship Id="rId2587" Type="http://schemas.openxmlformats.org/officeDocument/2006/relationships/hyperlink" Target="http://www.redninjastudio.com/" TargetMode="External"/><Relationship Id="rId2794" Type="http://schemas.openxmlformats.org/officeDocument/2006/relationships/hyperlink" Target="https://okdiario.com/espana/2018/11/20/pablo-iglesias-probable-que-tengamos-elecciones-muy-pronto-3371983?utm_term=Autofeed&amp;utm_campaign=ok&amp;utm_medium=Social&amp;utm_source=Twitter" TargetMode="External"/><Relationship Id="rId114" Type="http://schemas.openxmlformats.org/officeDocument/2006/relationships/hyperlink" Target="https://bit.ly/2FE4LgW" TargetMode="External"/><Relationship Id="rId461" Type="http://schemas.openxmlformats.org/officeDocument/2006/relationships/hyperlink" Target="http://page.is/anton" TargetMode="External"/><Relationship Id="rId559" Type="http://schemas.openxmlformats.org/officeDocument/2006/relationships/hyperlink" Target="https://m.eldiario.es/politica/Parlamento-Europeo-Gobierno-Fundacion-Francisco_0_828717613.html" TargetMode="External"/><Relationship Id="rId766" Type="http://schemas.openxmlformats.org/officeDocument/2006/relationships/hyperlink" Target="https://elpais.com/elpais/2018/11/21/opinion/1542806031_921444.html?id_externo_rsoc=TW_CC" TargetMode="External"/><Relationship Id="rId1189" Type="http://schemas.openxmlformats.org/officeDocument/2006/relationships/hyperlink" Target="https://www.youtube.com/channel/UCBJUtxV8jOW7RYIlC89emEA" TargetMode="External"/><Relationship Id="rId1396" Type="http://schemas.openxmlformats.org/officeDocument/2006/relationships/hyperlink" Target="https://www.instagram.com/i_montero_/?hl=es" TargetMode="External"/><Relationship Id="rId2142" Type="http://schemas.openxmlformats.org/officeDocument/2006/relationships/hyperlink" Target="http://www.bitmomentum.com/" TargetMode="External"/><Relationship Id="rId2447" Type="http://schemas.openxmlformats.org/officeDocument/2006/relationships/hyperlink" Target="http://www.pepecontreras.blogspot.com/" TargetMode="External"/><Relationship Id="rId321" Type="http://schemas.openxmlformats.org/officeDocument/2006/relationships/hyperlink" Target="https://m.eldiario.es/_31fba808" TargetMode="External"/><Relationship Id="rId419" Type="http://schemas.openxmlformats.org/officeDocument/2006/relationships/hyperlink" Target="http://podemos.info/" TargetMode="External"/><Relationship Id="rId626" Type="http://schemas.openxmlformats.org/officeDocument/2006/relationships/hyperlink" Target="https://elpais.com/elpais/2018/11/21/opinion/1542806031_921444.html?id_externo_rsoc=TW_CC" TargetMode="External"/><Relationship Id="rId973" Type="http://schemas.openxmlformats.org/officeDocument/2006/relationships/hyperlink" Target="http://instagram.com/beaherranz_" TargetMode="External"/><Relationship Id="rId1049" Type="http://schemas.openxmlformats.org/officeDocument/2006/relationships/hyperlink" Target="http://vivenciasdiaadia.blogspot.com/" TargetMode="External"/><Relationship Id="rId1256" Type="http://schemas.openxmlformats.org/officeDocument/2006/relationships/hyperlink" Target="https://ift.tt/2PMIAd1" TargetMode="External"/><Relationship Id="rId2002" Type="http://schemas.openxmlformats.org/officeDocument/2006/relationships/hyperlink" Target="https://kaosenlared.net/pablo-iglesiasla-bandera-tricolor-es-el-simbolo-de-los-perdedores-y-no-volvera-a-resurgir/" TargetMode="External"/><Relationship Id="rId2307" Type="http://schemas.openxmlformats.org/officeDocument/2006/relationships/hyperlink" Target="https://pbs.twimg.com/media/DshIWTTXgAA1fIS.jpg" TargetMode="External"/><Relationship Id="rId2654" Type="http://schemas.openxmlformats.org/officeDocument/2006/relationships/hyperlink" Target="https://amp.elmundo.es/espana/2018/11/20/5bf407ae46163f14b08b460e.html" TargetMode="External"/><Relationship Id="rId2861" Type="http://schemas.openxmlformats.org/officeDocument/2006/relationships/hyperlink" Target="https://youtu.be/nyKcBUxQ7Ww" TargetMode="External"/><Relationship Id="rId2959" Type="http://schemas.openxmlformats.org/officeDocument/2006/relationships/hyperlink" Target="https://blogjkeats.wordpress.com/" TargetMode="External"/><Relationship Id="rId833" Type="http://schemas.openxmlformats.org/officeDocument/2006/relationships/hyperlink" Target="http://filonet.es/" TargetMode="External"/><Relationship Id="rId1116" Type="http://schemas.openxmlformats.org/officeDocument/2006/relationships/hyperlink" Target="https://www.eldiario.es/politica/Golpistas-fascistas-presuntos-escupitajos-Congreso_0_838167072.html" TargetMode="External"/><Relationship Id="rId1463" Type="http://schemas.openxmlformats.org/officeDocument/2006/relationships/hyperlink" Target="https://es.linkedin.com/in/mruizcastro" TargetMode="External"/><Relationship Id="rId1670" Type="http://schemas.openxmlformats.org/officeDocument/2006/relationships/hyperlink" Target="https://madrid.podemos.info/" TargetMode="External"/><Relationship Id="rId1768" Type="http://schemas.openxmlformats.org/officeDocument/2006/relationships/hyperlink" Target="http://www.bitmomentum.com/" TargetMode="External"/><Relationship Id="rId2514" Type="http://schemas.openxmlformats.org/officeDocument/2006/relationships/hyperlink" Target="http://www.telemadrid.es/noticias/nacional/Pablo-Iglesias-Mahmmoud-Alizadeh-Azinimi-0-1758124199--20160118064730.html" TargetMode="External"/><Relationship Id="rId2721" Type="http://schemas.openxmlformats.org/officeDocument/2006/relationships/hyperlink" Target="http://pic.twitter.com/YFhlNH1bwC" TargetMode="External"/><Relationship Id="rId2819" Type="http://schemas.openxmlformats.org/officeDocument/2006/relationships/hyperlink" Target="https://www.youtube.com/watch?v=ZQNyJdfO2HQ" TargetMode="External"/><Relationship Id="rId900" Type="http://schemas.openxmlformats.org/officeDocument/2006/relationships/hyperlink" Target="https://es.linkedin.com/in/carlosavalverde" TargetMode="External"/><Relationship Id="rId1323" Type="http://schemas.openxmlformats.org/officeDocument/2006/relationships/hyperlink" Target="https://pbs.twimg.com/media/DsmcEQpXQAARANb.jpg" TargetMode="External"/><Relationship Id="rId1530" Type="http://schemas.openxmlformats.org/officeDocument/2006/relationships/hyperlink" Target="https://elpais.com/elpais/2018/11/21/opinion/1542806031_921444.html" TargetMode="External"/><Relationship Id="rId1628" Type="http://schemas.openxmlformats.org/officeDocument/2006/relationships/hyperlink" Target="https://elpais.com/elpais/2018/11/21/opinion/1542806031_921444.html" TargetMode="External"/><Relationship Id="rId1975" Type="http://schemas.openxmlformats.org/officeDocument/2006/relationships/hyperlink" Target="http://pic.twitter.com/QBNno6VJd9" TargetMode="External"/><Relationship Id="rId1835" Type="http://schemas.openxmlformats.org/officeDocument/2006/relationships/hyperlink" Target="https://twitter.com/dmax_es/status/1065366894759297025" TargetMode="External"/><Relationship Id="rId1902" Type="http://schemas.openxmlformats.org/officeDocument/2006/relationships/hyperlink" Target="http://pic.twitter.com/0xORqKQotM" TargetMode="External"/><Relationship Id="rId2097" Type="http://schemas.openxmlformats.org/officeDocument/2006/relationships/hyperlink" Target="http://pic.twitter.com/PbrDJpmNb7" TargetMode="External"/><Relationship Id="rId276" Type="http://schemas.openxmlformats.org/officeDocument/2006/relationships/hyperlink" Target="http://www.convivenciaysolidaridad.blogspot.com/" TargetMode="External"/><Relationship Id="rId483" Type="http://schemas.openxmlformats.org/officeDocument/2006/relationships/hyperlink" Target="https://pbs.twimg.com/media/DsrEnMyVAAAVRcS.jpg" TargetMode="External"/><Relationship Id="rId690" Type="http://schemas.openxmlformats.org/officeDocument/2006/relationships/hyperlink" Target="http://siniquitate.blogspot.com/" TargetMode="External"/><Relationship Id="rId2164" Type="http://schemas.openxmlformats.org/officeDocument/2006/relationships/hyperlink" Target="http://bit.ly/2Fz9ccC" TargetMode="External"/><Relationship Id="rId2371" Type="http://schemas.openxmlformats.org/officeDocument/2006/relationships/hyperlink" Target="https://pbs.twimg.com/media/Dsgyn3SVsAA-eDU.jpg" TargetMode="External"/><Relationship Id="rId136" Type="http://schemas.openxmlformats.org/officeDocument/2006/relationships/hyperlink" Target="https://pbs.twimg.com/media/Dsr96dsWoAAMpS9.jpg" TargetMode="External"/><Relationship Id="rId343" Type="http://schemas.openxmlformats.org/officeDocument/2006/relationships/hyperlink" Target="https://twitter.com/liberal_mirada/status/1065698331777802240" TargetMode="External"/><Relationship Id="rId550" Type="http://schemas.openxmlformats.org/officeDocument/2006/relationships/hyperlink" Target="https://elpais.com/elpais/2018/11/21/opinion/1542806031_921444.html?id_externo_rsoc=TW_CC" TargetMode="External"/><Relationship Id="rId788" Type="http://schemas.openxmlformats.org/officeDocument/2006/relationships/hyperlink" Target="https://www.libertaddigital.com/espana/2018-11-22/iglesias-utiliza-el-pais-para-atacar-a-la-monarquia-una-nueva-republica-sera-la-mejor-garantia-para-una-espana-unida-1276628644/" TargetMode="External"/><Relationship Id="rId995" Type="http://schemas.openxmlformats.org/officeDocument/2006/relationships/hyperlink" Target="https://elpais.com/elpais/2018/11/21/opinion/1542806031_921444.html" TargetMode="External"/><Relationship Id="rId1180" Type="http://schemas.openxmlformats.org/officeDocument/2006/relationships/hyperlink" Target="https://elpais.com/elpais/2018/11/21/opinion/1542806031_921444.html?id_externo_rsoc=TW_CC" TargetMode="External"/><Relationship Id="rId2024" Type="http://schemas.openxmlformats.org/officeDocument/2006/relationships/hyperlink" Target="https://twitter.com/miquelroig/status/1065176468827852801" TargetMode="External"/><Relationship Id="rId2231" Type="http://schemas.openxmlformats.org/officeDocument/2006/relationships/hyperlink" Target="http://informe2017.coordinadoraongd.org/" TargetMode="External"/><Relationship Id="rId2469" Type="http://schemas.openxmlformats.org/officeDocument/2006/relationships/hyperlink" Target="https://www.youtube.com/channel/UCS9vC-nw0DJK2He-wG9Wlsw" TargetMode="External"/><Relationship Id="rId2676" Type="http://schemas.openxmlformats.org/officeDocument/2006/relationships/hyperlink" Target="http://www.celag.org/wp-content/uploads/2018/11/cuadernos_formacion_2018.pdf" TargetMode="External"/><Relationship Id="rId2883" Type="http://schemas.openxmlformats.org/officeDocument/2006/relationships/hyperlink" Target="https://www.imdb.com/name/nm8961961/" TargetMode="External"/><Relationship Id="rId203" Type="http://schemas.openxmlformats.org/officeDocument/2006/relationships/hyperlink" Target="http://facebook.com/sov.vigo" TargetMode="External"/><Relationship Id="rId648" Type="http://schemas.openxmlformats.org/officeDocument/2006/relationships/hyperlink" Target="https://www.ticketbell.com/musica/mitin-adelante-andalucia-en-sevilla" TargetMode="External"/><Relationship Id="rId855" Type="http://schemas.openxmlformats.org/officeDocument/2006/relationships/hyperlink" Target="http://www.bitmomentum.com/" TargetMode="External"/><Relationship Id="rId1040" Type="http://schemas.openxmlformats.org/officeDocument/2006/relationships/hyperlink" Target="https://elpais.com/elpais/2018/11/21/opinion/1542806031_921444.html?id_externo_rsoc=TW_CC" TargetMode="External"/><Relationship Id="rId1278" Type="http://schemas.openxmlformats.org/officeDocument/2006/relationships/hyperlink" Target="https://twitter.com/jesusmedinae/status/975656805501194240" TargetMode="External"/><Relationship Id="rId1485" Type="http://schemas.openxmlformats.org/officeDocument/2006/relationships/hyperlink" Target="https://elpais.com/elpais/2018/11/21/opinion/1542806031_921444.html" TargetMode="External"/><Relationship Id="rId1692" Type="http://schemas.openxmlformats.org/officeDocument/2006/relationships/hyperlink" Target="http://checaresmien.org/" TargetMode="External"/><Relationship Id="rId2329" Type="http://schemas.openxmlformats.org/officeDocument/2006/relationships/hyperlink" Target="http://dlvr.it/Qrlbjs" TargetMode="External"/><Relationship Id="rId2536" Type="http://schemas.openxmlformats.org/officeDocument/2006/relationships/hyperlink" Target="http://pic.twitter.com/49zqwyby5c" TargetMode="External"/><Relationship Id="rId2743" Type="http://schemas.openxmlformats.org/officeDocument/2006/relationships/hyperlink" Target="https://pbs.twimg.com/media/Dsdf7XYXoAAOGt7.jpg" TargetMode="External"/><Relationship Id="rId410" Type="http://schemas.openxmlformats.org/officeDocument/2006/relationships/hyperlink" Target="https://elpais.com/elpais/2018/11/21/opinion/1542806031_921444.html" TargetMode="External"/><Relationship Id="rId508" Type="http://schemas.openxmlformats.org/officeDocument/2006/relationships/hyperlink" Target="http://podemos.info/" TargetMode="External"/><Relationship Id="rId715" Type="http://schemas.openxmlformats.org/officeDocument/2006/relationships/hyperlink" Target="http://pic.twitter.com/rRyxvn7JiH" TargetMode="External"/><Relationship Id="rId922" Type="http://schemas.openxmlformats.org/officeDocument/2006/relationships/hyperlink" Target="https://pbs.twimg.com/media/Dsn3wu4WwAIdFlD.jpg" TargetMode="External"/><Relationship Id="rId1138" Type="http://schemas.openxmlformats.org/officeDocument/2006/relationships/hyperlink" Target="http://dererumpachoris.blogspot.com.es/" TargetMode="External"/><Relationship Id="rId1345" Type="http://schemas.openxmlformats.org/officeDocument/2006/relationships/hyperlink" Target="https://pbs.twimg.com/media/DsmX-hCWkAEv46D.jpg" TargetMode="External"/><Relationship Id="rId1552" Type="http://schemas.openxmlformats.org/officeDocument/2006/relationships/hyperlink" Target="https://youtu.be/UwYUWq33yLg" TargetMode="External"/><Relationship Id="rId1997" Type="http://schemas.openxmlformats.org/officeDocument/2006/relationships/hyperlink" Target="http://www.bitmomentum.com/" TargetMode="External"/><Relationship Id="rId2603" Type="http://schemas.openxmlformats.org/officeDocument/2006/relationships/hyperlink" Target="https://pbs.twimg.com/media/Dsd9qBYXoAE03un.jpg" TargetMode="External"/><Relationship Id="rId2950" Type="http://schemas.openxmlformats.org/officeDocument/2006/relationships/hyperlink" Target="https://www.lavozdeltajo.com/noticia/35254/nuestra-gente/video--pablo-iglesias-en-el-homenaje-a-horcajuelo-en-talavera:-la-memoria-historica-es-la-gasolina-del-futuro.html" TargetMode="External"/><Relationship Id="rId1205" Type="http://schemas.openxmlformats.org/officeDocument/2006/relationships/hyperlink" Target="https://elpais.com/elpais/2018/11/21/opinion/1542806031_921444.html" TargetMode="External"/><Relationship Id="rId1857" Type="http://schemas.openxmlformats.org/officeDocument/2006/relationships/hyperlink" Target="http://pablomiguel.com.ar/" TargetMode="External"/><Relationship Id="rId2810" Type="http://schemas.openxmlformats.org/officeDocument/2006/relationships/hyperlink" Target="https://disoimages.com/" TargetMode="External"/><Relationship Id="rId2908" Type="http://schemas.openxmlformats.org/officeDocument/2006/relationships/hyperlink" Target="https://www.esdiario.com/863352693/Un-audio-robado-hunde-a-Pablo-Iglesias-cocteles-molotov-contra-la-Guardia-Civil.html" TargetMode="External"/><Relationship Id="rId51" Type="http://schemas.openxmlformats.org/officeDocument/2006/relationships/hyperlink" Target="http://balears.podemos.info/" TargetMode="External"/><Relationship Id="rId1412" Type="http://schemas.openxmlformats.org/officeDocument/2006/relationships/hyperlink" Target="http://labarberiablog.wordpress.com/" TargetMode="External"/><Relationship Id="rId1717" Type="http://schemas.openxmlformats.org/officeDocument/2006/relationships/hyperlink" Target="https://elpais.com/elpais/2018/11/21/opinion/1542806031_921444.html?id_externo_rsoc=TW_CC" TargetMode="External"/><Relationship Id="rId1924" Type="http://schemas.openxmlformats.org/officeDocument/2006/relationships/hyperlink" Target="https://goo.gl/JCxFTR?ipk26=6064437537" TargetMode="External"/><Relationship Id="rId298" Type="http://schemas.openxmlformats.org/officeDocument/2006/relationships/hyperlink" Target="https://www.eldiario.es/politica/Pablo-Iglesias-ingredientes-Manuela-alcaldesa_0_838866183.html" TargetMode="External"/><Relationship Id="rId158" Type="http://schemas.openxmlformats.org/officeDocument/2006/relationships/hyperlink" Target="http://www.radiosporting.es/" TargetMode="External"/><Relationship Id="rId2186" Type="http://schemas.openxmlformats.org/officeDocument/2006/relationships/hyperlink" Target="https://www.elmundo.es/economia/macroeconomia/2018/11/21/5bf542fa46163f8e9e8b4669.html" TargetMode="External"/><Relationship Id="rId2393" Type="http://schemas.openxmlformats.org/officeDocument/2006/relationships/hyperlink" Target="https://pbs.twimg.com/media/DsgsX1CWkAIQm4j.jpg" TargetMode="External"/><Relationship Id="rId2698" Type="http://schemas.openxmlformats.org/officeDocument/2006/relationships/hyperlink" Target="https://www.esdiario.com/863352693/Un-audio-robado-hunde-a-Pablo-Iglesias-cocteles-molotov-contra-la-Guardia-Civil.html" TargetMode="External"/><Relationship Id="rId365" Type="http://schemas.openxmlformats.org/officeDocument/2006/relationships/hyperlink" Target="https://twitter.com/ppopular/status/1065883179909697536" TargetMode="External"/><Relationship Id="rId572" Type="http://schemas.openxmlformats.org/officeDocument/2006/relationships/hyperlink" Target="https://pbs.twimg.com/media/DspmQ9_XcAE8jwK.jpg" TargetMode="External"/><Relationship Id="rId2046" Type="http://schemas.openxmlformats.org/officeDocument/2006/relationships/hyperlink" Target="https://www.facebook.com/francisco.gagonieto.9" TargetMode="External"/><Relationship Id="rId2253" Type="http://schemas.openxmlformats.org/officeDocument/2006/relationships/hyperlink" Target="https://www.facebook.com/francisco.gagonieto.9" TargetMode="External"/><Relationship Id="rId2460" Type="http://schemas.openxmlformats.org/officeDocument/2006/relationships/hyperlink" Target="http://www.sevilla24horas.com/" TargetMode="External"/><Relationship Id="rId225" Type="http://schemas.openxmlformats.org/officeDocument/2006/relationships/hyperlink" Target="https://pbs.twimg.com/media/DsoylnnWkAArp-4.jpg" TargetMode="External"/><Relationship Id="rId432" Type="http://schemas.openxmlformats.org/officeDocument/2006/relationships/hyperlink" Target="https://civil.co/" TargetMode="External"/><Relationship Id="rId877" Type="http://schemas.openxmlformats.org/officeDocument/2006/relationships/hyperlink" Target="https://twitter.com/a_degrado/status/1065182391059341312" TargetMode="External"/><Relationship Id="rId1062" Type="http://schemas.openxmlformats.org/officeDocument/2006/relationships/hyperlink" Target="https://www.linkedin.com/in/%C3%A1lvaro-peralta-conde-8106a439/" TargetMode="External"/><Relationship Id="rId2113" Type="http://schemas.openxmlformats.org/officeDocument/2006/relationships/hyperlink" Target="http://elotrokiosko.net/" TargetMode="External"/><Relationship Id="rId2320" Type="http://schemas.openxmlformats.org/officeDocument/2006/relationships/hyperlink" Target="https://twitter.com/zamartin/status/1065174486218092544" TargetMode="External"/><Relationship Id="rId2558" Type="http://schemas.openxmlformats.org/officeDocument/2006/relationships/hyperlink" Target="https://twitter.com/CientificoenEsp/status/1064884945783537664" TargetMode="External"/><Relationship Id="rId2765" Type="http://schemas.openxmlformats.org/officeDocument/2006/relationships/hyperlink" Target="https://youtu.be/ixEpKFp5fKw" TargetMode="External"/><Relationship Id="rId2972" Type="http://schemas.openxmlformats.org/officeDocument/2006/relationships/hyperlink" Target="https://pbs.twimg.com/media/Dsck736WwAA9ISA.jpg" TargetMode="External"/><Relationship Id="rId737" Type="http://schemas.openxmlformats.org/officeDocument/2006/relationships/hyperlink" Target="http://elpais.com/elpais/opinion.html" TargetMode="External"/><Relationship Id="rId944" Type="http://schemas.openxmlformats.org/officeDocument/2006/relationships/hyperlink" Target="https://pbs.twimg.com/media/Dsnyo0cW0AA5J_Y.jpg" TargetMode="External"/><Relationship Id="rId1367" Type="http://schemas.openxmlformats.org/officeDocument/2006/relationships/hyperlink" Target="http://www.civio.es/" TargetMode="External"/><Relationship Id="rId1574" Type="http://schemas.openxmlformats.org/officeDocument/2006/relationships/hyperlink" Target="https://pbs.twimg.com/media/Dsl7RVmX4AE5XZ2.jpg" TargetMode="External"/><Relationship Id="rId1781" Type="http://schemas.openxmlformats.org/officeDocument/2006/relationships/hyperlink" Target="http://www.comopanatedigo.com/" TargetMode="External"/><Relationship Id="rId2418" Type="http://schemas.openxmlformats.org/officeDocument/2006/relationships/hyperlink" Target="https://www.facebook.com/Rivasvaciamadridforo" TargetMode="External"/><Relationship Id="rId2625" Type="http://schemas.openxmlformats.org/officeDocument/2006/relationships/hyperlink" Target="http://www.chicasreales.uk/" TargetMode="External"/><Relationship Id="rId2832" Type="http://schemas.openxmlformats.org/officeDocument/2006/relationships/hyperlink" Target="https://trib.al/8JLUj7T" TargetMode="External"/><Relationship Id="rId73" Type="http://schemas.openxmlformats.org/officeDocument/2006/relationships/hyperlink" Target="https://pbs.twimg.com/media/DssN_MOWwAABQ0j.jpg" TargetMode="External"/><Relationship Id="rId804" Type="http://schemas.openxmlformats.org/officeDocument/2006/relationships/hyperlink" Target="http://insurgente.org/" TargetMode="External"/><Relationship Id="rId1227" Type="http://schemas.openxmlformats.org/officeDocument/2006/relationships/hyperlink" Target="https://elpais.com/elpais/2018/11/21/opinion/1542806031_921444.amp.html?__twitter_impression=true" TargetMode="External"/><Relationship Id="rId1434" Type="http://schemas.openxmlformats.org/officeDocument/2006/relationships/hyperlink" Target="https://elpais.com/elpais/2018/11/21/opinion/1542806031_921444.html" TargetMode="External"/><Relationship Id="rId1641" Type="http://schemas.openxmlformats.org/officeDocument/2006/relationships/hyperlink" Target="https://elpais.com/elpais/2018/11/21/opinion/1542806031_921444.html" TargetMode="External"/><Relationship Id="rId1879" Type="http://schemas.openxmlformats.org/officeDocument/2006/relationships/hyperlink" Target="https://pbs.twimg.com/media/DsjfFG1XcAYMqZE.jpg" TargetMode="External"/><Relationship Id="rId1501" Type="http://schemas.openxmlformats.org/officeDocument/2006/relationships/hyperlink" Target="https://elpais.com/elpais/2018/11/21/opinion/1542806031_921444.html" TargetMode="External"/><Relationship Id="rId1739" Type="http://schemas.openxmlformats.org/officeDocument/2006/relationships/hyperlink" Target="https://elpais.com/elpais/2018/11/21/opinion/1542806031_921444.html" TargetMode="External"/><Relationship Id="rId1946" Type="http://schemas.openxmlformats.org/officeDocument/2006/relationships/hyperlink" Target="http://www.jikara.com/" TargetMode="External"/><Relationship Id="rId1806" Type="http://schemas.openxmlformats.org/officeDocument/2006/relationships/hyperlink" Target="https://www.facebook.com/Me-lo-dices-o-me-lo-cuentas-Te-lo-cuento-1209658342506537/" TargetMode="External"/><Relationship Id="rId387" Type="http://schemas.openxmlformats.org/officeDocument/2006/relationships/hyperlink" Target="https://bit.ly/2S9Obqj" TargetMode="External"/><Relationship Id="rId594" Type="http://schemas.openxmlformats.org/officeDocument/2006/relationships/hyperlink" Target="https://www.gacetaglobal.com/noticia/pablo-iglesias-aboga-por-la-instalacion-de-guillotinas-en-todas-las-plazas-de-espana" TargetMode="External"/><Relationship Id="rId2068" Type="http://schemas.openxmlformats.org/officeDocument/2006/relationships/hyperlink" Target="http://plaza.podemos.info/" TargetMode="External"/><Relationship Id="rId2275" Type="http://schemas.openxmlformats.org/officeDocument/2006/relationships/hyperlink" Target="https://pbs.twimg.com/media/DshODxBXQAAAy7O.jpg" TargetMode="External"/><Relationship Id="rId247" Type="http://schemas.openxmlformats.org/officeDocument/2006/relationships/hyperlink" Target="http://riazordeportivo.blogspot.com.es/" TargetMode="External"/><Relationship Id="rId899" Type="http://schemas.openxmlformats.org/officeDocument/2006/relationships/hyperlink" Target="http://www.eleconomista.es/" TargetMode="External"/><Relationship Id="rId1084" Type="http://schemas.openxmlformats.org/officeDocument/2006/relationships/hyperlink" Target="https://elpais.com/elpais/2018/11/21/opinion/1542806031_921444.html?id_externo_rsoc=TW_CC" TargetMode="External"/><Relationship Id="rId2482" Type="http://schemas.openxmlformats.org/officeDocument/2006/relationships/hyperlink" Target="https://www.elespanol.com/espana/20181120/pp-declara-guerra-vox-votarles-ayudar-socialistas/354465099_0.amp.html" TargetMode="External"/><Relationship Id="rId2787" Type="http://schemas.openxmlformats.org/officeDocument/2006/relationships/hyperlink" Target="http://pic.twitter.com/LVeW9jcS2q" TargetMode="External"/><Relationship Id="rId107" Type="http://schemas.openxmlformats.org/officeDocument/2006/relationships/hyperlink" Target="https://pbs.twimg.com/media/DssEZzIWsAEmZbl.jpg" TargetMode="External"/><Relationship Id="rId454" Type="http://schemas.openxmlformats.org/officeDocument/2006/relationships/hyperlink" Target="https://pbs.twimg.com/media/DsrIrC9X4AA7E6H.jpg" TargetMode="External"/><Relationship Id="rId661" Type="http://schemas.openxmlformats.org/officeDocument/2006/relationships/hyperlink" Target="https://twitter.com/hypatiascorner/status/1065725374502457344" TargetMode="External"/><Relationship Id="rId759" Type="http://schemas.openxmlformats.org/officeDocument/2006/relationships/hyperlink" Target="https://elpais.com/elpais/2018/11/21/opinion/1542806031_921444.html?id_externo_rsoc=TW_CC" TargetMode="External"/><Relationship Id="rId966" Type="http://schemas.openxmlformats.org/officeDocument/2006/relationships/hyperlink" Target="http://javiermarcosangulo.blogspot.com.es/" TargetMode="External"/><Relationship Id="rId1291" Type="http://schemas.openxmlformats.org/officeDocument/2006/relationships/hyperlink" Target="http://ow.ly/u70j30mI9yd" TargetMode="External"/><Relationship Id="rId1389" Type="http://schemas.openxmlformats.org/officeDocument/2006/relationships/hyperlink" Target="http://pic.twitter.com/OzUEyQjaH2" TargetMode="External"/><Relationship Id="rId1596" Type="http://schemas.openxmlformats.org/officeDocument/2006/relationships/hyperlink" Target="https://pbs.twimg.com/media/Dsl7yVbWoAIMcws.jpg" TargetMode="External"/><Relationship Id="rId2135" Type="http://schemas.openxmlformats.org/officeDocument/2006/relationships/hyperlink" Target="https://www.elmundo.es/andalucia/2018/11/21/5bf46ba046163f4da28b4607.html" TargetMode="External"/><Relationship Id="rId2342" Type="http://schemas.openxmlformats.org/officeDocument/2006/relationships/hyperlink" Target="https://www.elmundo.es/andalucia/2018/11/21/5bf46ba046163f4da28b4607.html" TargetMode="External"/><Relationship Id="rId2647" Type="http://schemas.openxmlformats.org/officeDocument/2006/relationships/hyperlink" Target="https://pbs.twimg.com/media/DsdWcF0XQAELDxk.jpg" TargetMode="External"/><Relationship Id="rId314" Type="http://schemas.openxmlformats.org/officeDocument/2006/relationships/hyperlink" Target="https://pbs.twimg.com/media/DsrftmcWwAAtL1P.jpg" TargetMode="External"/><Relationship Id="rId521" Type="http://schemas.openxmlformats.org/officeDocument/2006/relationships/hyperlink" Target="https://www.periodistadigital.com/periodismo/internet/2018/11/23/colosal-bano-nacho-torreblanca-iglesias-desmontando-articulo-antimonarquico-elpais.shtml" TargetMode="External"/><Relationship Id="rId619" Type="http://schemas.openxmlformats.org/officeDocument/2006/relationships/hyperlink" Target="https://okdiario.com/espana/2018/11/22/podemos-cierra-granma-que-lanzo-darse-autobombo-editar-solo-numero-3375752/amp" TargetMode="External"/><Relationship Id="rId1151" Type="http://schemas.openxmlformats.org/officeDocument/2006/relationships/hyperlink" Target="https://www.instagram.com/4lmu_/" TargetMode="External"/><Relationship Id="rId1249" Type="http://schemas.openxmlformats.org/officeDocument/2006/relationships/hyperlink" Target="https://elpais.com/elpais/2018/11/21/opinion/1542806031_921444.html?id_externo_rsoc=TW_CC" TargetMode="External"/><Relationship Id="rId2202" Type="http://schemas.openxmlformats.org/officeDocument/2006/relationships/hyperlink" Target="https://pbs.twimg.com/media/DshhZKnXcAA-SH8.jpg" TargetMode="External"/><Relationship Id="rId2854" Type="http://schemas.openxmlformats.org/officeDocument/2006/relationships/hyperlink" Target="http://pic.twitter.com/u9Spg6cMDH" TargetMode="External"/><Relationship Id="rId95" Type="http://schemas.openxmlformats.org/officeDocument/2006/relationships/hyperlink" Target="http://www.lasexta.com/programas/al-rojo-vivo/" TargetMode="External"/><Relationship Id="rId826" Type="http://schemas.openxmlformats.org/officeDocument/2006/relationships/hyperlink" Target="https://pbs.twimg.com/media/DsoJvtKXcAEu7o4.jpg" TargetMode="External"/><Relationship Id="rId1011" Type="http://schemas.openxmlformats.org/officeDocument/2006/relationships/hyperlink" Target="https://bit.ly/2FyQ5j3" TargetMode="External"/><Relationship Id="rId1109" Type="http://schemas.openxmlformats.org/officeDocument/2006/relationships/hyperlink" Target="https://twitter.com/marinaLobL/status/1065219820482936833" TargetMode="External"/><Relationship Id="rId1456" Type="http://schemas.openxmlformats.org/officeDocument/2006/relationships/hyperlink" Target="http://www.cdpuertaoscura.com/" TargetMode="External"/><Relationship Id="rId1663" Type="http://schemas.openxmlformats.org/officeDocument/2006/relationships/hyperlink" Target="https://elpais.com/elpais/2018/11/21/opinion/1542806031_921444.html?id_externo_rsoc=TW_CC" TargetMode="External"/><Relationship Id="rId1870" Type="http://schemas.openxmlformats.org/officeDocument/2006/relationships/hyperlink" Target="https://pbs.twimg.com/media/DsjiheBXgAA7-X6.jpg" TargetMode="External"/><Relationship Id="rId1968" Type="http://schemas.openxmlformats.org/officeDocument/2006/relationships/hyperlink" Target="https://www.elconfidencial.com/espana/2018-11-18/desencanto-podemos-circulos-pablo-iglesias-carmena_1653050/?utm_source=twitter&amp;utm_medium=social&amp;utm_campaign=BotoneraWeb" TargetMode="External"/><Relationship Id="rId2507" Type="http://schemas.openxmlformats.org/officeDocument/2006/relationships/hyperlink" Target="https://twitter.com/jordi_canyas/status/1064607712988852232" TargetMode="External"/><Relationship Id="rId2714" Type="http://schemas.openxmlformats.org/officeDocument/2006/relationships/hyperlink" Target="https://www.facebook.com/lacorruptecapublica/?ref=settings" TargetMode="External"/><Relationship Id="rId2921" Type="http://schemas.openxmlformats.org/officeDocument/2006/relationships/hyperlink" Target="https://goo.gl/ujmtRr" TargetMode="External"/><Relationship Id="rId1316" Type="http://schemas.openxmlformats.org/officeDocument/2006/relationships/hyperlink" Target="https://pbs.twimg.com/media/DsmZZ9PW0AEoxr3.jpg" TargetMode="External"/><Relationship Id="rId1523" Type="http://schemas.openxmlformats.org/officeDocument/2006/relationships/hyperlink" Target="https://elpais.com/elpais/2018/11/21/opinion/1542806031_921444.html" TargetMode="External"/><Relationship Id="rId1730" Type="http://schemas.openxmlformats.org/officeDocument/2006/relationships/hyperlink" Target="http://about.me/luis_luna" TargetMode="External"/><Relationship Id="rId22" Type="http://schemas.openxmlformats.org/officeDocument/2006/relationships/hyperlink" Target="https://pbs.twimg.com/media/DsscXgWXgAAF04M.jpg" TargetMode="External"/><Relationship Id="rId1828" Type="http://schemas.openxmlformats.org/officeDocument/2006/relationships/hyperlink" Target="http://notengoweb.com/" TargetMode="External"/><Relationship Id="rId171" Type="http://schemas.openxmlformats.org/officeDocument/2006/relationships/hyperlink" Target="http://www.implantecoclear.org/" TargetMode="External"/><Relationship Id="rId2297" Type="http://schemas.openxmlformats.org/officeDocument/2006/relationships/hyperlink" Target="https://pbs.twimg.com/media/DshJpj6XQAAAkBh.jpg" TargetMode="External"/><Relationship Id="rId269" Type="http://schemas.openxmlformats.org/officeDocument/2006/relationships/hyperlink" Target="http://youtu.be/VG7m-J12CBI?a" TargetMode="External"/><Relationship Id="rId476" Type="http://schemas.openxmlformats.org/officeDocument/2006/relationships/hyperlink" Target="http://cadenaser.com/programa/2018/11/22/hoy_por_hoy/1542900365_285470.html?ssm=tw-hxh" TargetMode="External"/><Relationship Id="rId683" Type="http://schemas.openxmlformats.org/officeDocument/2006/relationships/hyperlink" Target="https://ift.tt/2PL31qG" TargetMode="External"/><Relationship Id="rId890" Type="http://schemas.openxmlformats.org/officeDocument/2006/relationships/hyperlink" Target="https://informalia.eleconomista.es/informalia/actualidad/noticias/9536886/11/18/Pablo-Iglesias-propone-una-boda-roja-soft-para-la-monarquia-y-reivindica-la-republica.html" TargetMode="External"/><Relationship Id="rId2157" Type="http://schemas.openxmlformats.org/officeDocument/2006/relationships/hyperlink" Target="https://www.esdiario.com/214295113/Podemos-desbarra-y-culpa-a-Ana-Pastor-del-escandalo-montado-por-Rufian-.html" TargetMode="External"/><Relationship Id="rId2364" Type="http://schemas.openxmlformats.org/officeDocument/2006/relationships/hyperlink" Target="http://www.fespugtvalladolid.org/" TargetMode="External"/><Relationship Id="rId2571" Type="http://schemas.openxmlformats.org/officeDocument/2006/relationships/hyperlink" Target="https://pbs.twimg.com/media/DseQWAlWwAABAem.jpg" TargetMode="External"/><Relationship Id="rId129" Type="http://schemas.openxmlformats.org/officeDocument/2006/relationships/hyperlink" Target="https://elpais.com/elpais/2018/11/21/opinion/1542806031_921444.html?id_externo_rsoc=TW_CC" TargetMode="External"/><Relationship Id="rId336" Type="http://schemas.openxmlformats.org/officeDocument/2006/relationships/hyperlink" Target="https://pbs.twimg.com/media/DspNRovXcAAee1B.jpg" TargetMode="External"/><Relationship Id="rId543" Type="http://schemas.openxmlformats.org/officeDocument/2006/relationships/hyperlink" Target="http://www.bitmomentum.com/" TargetMode="External"/><Relationship Id="rId988" Type="http://schemas.openxmlformats.org/officeDocument/2006/relationships/hyperlink" Target="https://elpais.com/elpais/2018/11/21/opinion/1542806031_921444.html?id_externo_rsoc=TW_CC" TargetMode="External"/><Relationship Id="rId1173" Type="http://schemas.openxmlformats.org/officeDocument/2006/relationships/hyperlink" Target="https://elpais.com/elpais/2018/11/21/opinion/1542806031_921444.html" TargetMode="External"/><Relationship Id="rId1380" Type="http://schemas.openxmlformats.org/officeDocument/2006/relationships/hyperlink" Target="https://elpais.com/elpais/2018/11/21/opinion/1542806031_921444.html?id_externo_rsoc=TW_CC" TargetMode="External"/><Relationship Id="rId2017" Type="http://schemas.openxmlformats.org/officeDocument/2006/relationships/hyperlink" Target="https://goo.gl/E5by4K?mra22=5527422234" TargetMode="External"/><Relationship Id="rId2224" Type="http://schemas.openxmlformats.org/officeDocument/2006/relationships/hyperlink" Target="https://www.researchgate.net/profile/Juan_Casado2" TargetMode="External"/><Relationship Id="rId2669" Type="http://schemas.openxmlformats.org/officeDocument/2006/relationships/hyperlink" Target="http://instagram.com/j7barrero" TargetMode="External"/><Relationship Id="rId2876" Type="http://schemas.openxmlformats.org/officeDocument/2006/relationships/hyperlink" Target="http://pic.twitter.com/yZhyxY65jh" TargetMode="External"/><Relationship Id="rId403" Type="http://schemas.openxmlformats.org/officeDocument/2006/relationships/hyperlink" Target="http://cadenaser.com/" TargetMode="External"/><Relationship Id="rId750" Type="http://schemas.openxmlformats.org/officeDocument/2006/relationships/hyperlink" Target="https://pbs.twimg.com/media/DsobCslVsAAPSx_.jpg" TargetMode="External"/><Relationship Id="rId848" Type="http://schemas.openxmlformats.org/officeDocument/2006/relationships/hyperlink" Target="https://youtu.be/Vn5QOJG3_SM" TargetMode="External"/><Relationship Id="rId1033" Type="http://schemas.openxmlformats.org/officeDocument/2006/relationships/hyperlink" Target="https://goo.gl/4yD5zn?laz46=2977268224" TargetMode="External"/><Relationship Id="rId1478" Type="http://schemas.openxmlformats.org/officeDocument/2006/relationships/hyperlink" Target="https://pbs.twimg.com/media/DsmIENwXcAEbwVp.jpg" TargetMode="External"/><Relationship Id="rId1685" Type="http://schemas.openxmlformats.org/officeDocument/2006/relationships/hyperlink" Target="https://elpais.com/elpais/2018/11/21/opinion/1542806031_921444.html?id_externo_rsoc=TW_CM" TargetMode="External"/><Relationship Id="rId1892" Type="http://schemas.openxmlformats.org/officeDocument/2006/relationships/hyperlink" Target="http://mosaicomercurio.blogspot.com/" TargetMode="External"/><Relationship Id="rId2431" Type="http://schemas.openxmlformats.org/officeDocument/2006/relationships/hyperlink" Target="https://pbs.twimg.com/media/DsgW1KKXgAApVVK.jpg" TargetMode="External"/><Relationship Id="rId2529" Type="http://schemas.openxmlformats.org/officeDocument/2006/relationships/hyperlink" Target="https://pbs.twimg.com/media/DsehWzBWwAE4_Kg.jpg" TargetMode="External"/><Relationship Id="rId2736" Type="http://schemas.openxmlformats.org/officeDocument/2006/relationships/hyperlink" Target="https://www.elmundo.es/espana/2018/11/20/5bf407ae46163f14b08b460e.html" TargetMode="External"/><Relationship Id="rId610" Type="http://schemas.openxmlformats.org/officeDocument/2006/relationships/hyperlink" Target="https://pbs.twimg.com/media/DsnxDIoXgAIJfGd.jpg" TargetMode="External"/><Relationship Id="rId708" Type="http://schemas.openxmlformats.org/officeDocument/2006/relationships/hyperlink" Target="https://twitter.com/pablocast13/status/1065674284868296704" TargetMode="External"/><Relationship Id="rId915" Type="http://schemas.openxmlformats.org/officeDocument/2006/relationships/hyperlink" Target="https://pbs.twimg.com/media/Dsn6As_U8AEFBZh.jpg" TargetMode="External"/><Relationship Id="rId1240" Type="http://schemas.openxmlformats.org/officeDocument/2006/relationships/hyperlink" Target="https://elpais.com/elpais/2018/11/21/opinion/1542806031_921444.html?id_externo_rsoc=TW_CC" TargetMode="External"/><Relationship Id="rId1338" Type="http://schemas.openxmlformats.org/officeDocument/2006/relationships/hyperlink" Target="https://pbs.twimg.com/media/DsmbRUDXcAA-nh6.jpg" TargetMode="External"/><Relationship Id="rId1545" Type="http://schemas.openxmlformats.org/officeDocument/2006/relationships/hyperlink" Target="https://elpais.com/elpais/2018/11/21/opinion/1542806031_921444.html" TargetMode="External"/><Relationship Id="rId2943" Type="http://schemas.openxmlformats.org/officeDocument/2006/relationships/hyperlink" Target="http://podemosparla.org/" TargetMode="External"/><Relationship Id="rId1100" Type="http://schemas.openxmlformats.org/officeDocument/2006/relationships/hyperlink" Target="https://www.instagram.com/p/BqamTcLgXUq/?utm_source=ig_share_sheet&amp;igshid=w98wkbwq2d1m" TargetMode="External"/><Relationship Id="rId1405" Type="http://schemas.openxmlformats.org/officeDocument/2006/relationships/hyperlink" Target="https://elpais.com/elpais/2018/11/21/opinion/1542806031_921444.amp.html?id_externo_rsoc=TW_CC&amp;__twitter_impression=true" TargetMode="External"/><Relationship Id="rId1752" Type="http://schemas.openxmlformats.org/officeDocument/2006/relationships/hyperlink" Target="http://www.bitmomentum.com/" TargetMode="External"/><Relationship Id="rId2803" Type="http://schemas.openxmlformats.org/officeDocument/2006/relationships/hyperlink" Target="https://goo.gl/ujmtRr" TargetMode="External"/><Relationship Id="rId44" Type="http://schemas.openxmlformats.org/officeDocument/2006/relationships/hyperlink" Target="https://www.youtube.com/attribution_link?a=sePebZzuE6w&amp;u=%2Fwatch%3Fv%3DOg63UN3v7QA%26feature%3Dshare" TargetMode="External"/><Relationship Id="rId1612" Type="http://schemas.openxmlformats.org/officeDocument/2006/relationships/hyperlink" Target="http://elblogdemaitemolina.blogspot.com/" TargetMode="External"/><Relationship Id="rId1917" Type="http://schemas.openxmlformats.org/officeDocument/2006/relationships/hyperlink" Target="https://gaceta.es/mundo/fracaso-programa-recuperacion-maduro-20181121-0946/" TargetMode="External"/><Relationship Id="rId193" Type="http://schemas.openxmlformats.org/officeDocument/2006/relationships/hyperlink" Target="https://pbs.twimg.com/media/DsrvCSXX4AErkMi.jpg" TargetMode="External"/><Relationship Id="rId498" Type="http://schemas.openxmlformats.org/officeDocument/2006/relationships/hyperlink" Target="https://twitter.com/pablo_iglesias_/status/1065652376126803969" TargetMode="External"/><Relationship Id="rId2081" Type="http://schemas.openxmlformats.org/officeDocument/2006/relationships/hyperlink" Target="http://www.cronicaglobal.com/" TargetMode="External"/><Relationship Id="rId2179" Type="http://schemas.openxmlformats.org/officeDocument/2006/relationships/hyperlink" Target="http://tururutururu.com/" TargetMode="External"/><Relationship Id="rId260" Type="http://schemas.openxmlformats.org/officeDocument/2006/relationships/hyperlink" Target="http://www.radiomadrid.es/" TargetMode="External"/><Relationship Id="rId2386" Type="http://schemas.openxmlformats.org/officeDocument/2006/relationships/hyperlink" Target="http://nuevosdruidas.blogspot.com.es/" TargetMode="External"/><Relationship Id="rId2593" Type="http://schemas.openxmlformats.org/officeDocument/2006/relationships/hyperlink" Target="http://www.youtube.com/RockHumanDelta" TargetMode="External"/><Relationship Id="rId120" Type="http://schemas.openxmlformats.org/officeDocument/2006/relationships/hyperlink" Target="https://okdiario-com.cdn.ampproject.org/v/s/okdiario.com/espana/2018/11/23/iglesias-califica-patriotismo-extrano-defender-soberania-gibraltar-3382790/amp?amp_js_v=a2&amp;amp_gsa=1" TargetMode="External"/><Relationship Id="rId358" Type="http://schemas.openxmlformats.org/officeDocument/2006/relationships/hyperlink" Target="http://pic.twitter.com/jMj0Cn5LwZ" TargetMode="External"/><Relationship Id="rId565" Type="http://schemas.openxmlformats.org/officeDocument/2006/relationships/hyperlink" Target="https://pbs.twimg.com/media/DspyoN3XoAEJtnl.jpg" TargetMode="External"/><Relationship Id="rId772" Type="http://schemas.openxmlformats.org/officeDocument/2006/relationships/hyperlink" Target="http://canarias-semanal.org/art/23954/pablo-iglesias-la-bandera-tricolor-es-el-simbolo-de-los-perdedores-y-no-volvera-a-resurgir" TargetMode="External"/><Relationship Id="rId1195" Type="http://schemas.openxmlformats.org/officeDocument/2006/relationships/hyperlink" Target="https://curiouscat.me/Kage_no_shinobiu" TargetMode="External"/><Relationship Id="rId2039" Type="http://schemas.openxmlformats.org/officeDocument/2006/relationships/hyperlink" Target="http://pic.twitter.com/a3SpLEHS3y" TargetMode="External"/><Relationship Id="rId2246" Type="http://schemas.openxmlformats.org/officeDocument/2006/relationships/hyperlink" Target="https://pbs.twimg.com/media/DshTCIcX4AEBjMB.jpg" TargetMode="External"/><Relationship Id="rId2453" Type="http://schemas.openxmlformats.org/officeDocument/2006/relationships/hyperlink" Target="http://youtu.be/3e0D9z_t-_M?a" TargetMode="External"/><Relationship Id="rId2660" Type="http://schemas.openxmlformats.org/officeDocument/2006/relationships/hyperlink" Target="http://www.alcobendas.org/" TargetMode="External"/><Relationship Id="rId2898" Type="http://schemas.openxmlformats.org/officeDocument/2006/relationships/hyperlink" Target="http://www.elperiodico.com/" TargetMode="External"/><Relationship Id="rId218" Type="http://schemas.openxmlformats.org/officeDocument/2006/relationships/hyperlink" Target="https://pbs.twimg.com/media/DsrtGbfU8AAOw76.jpg" TargetMode="External"/><Relationship Id="rId425" Type="http://schemas.openxmlformats.org/officeDocument/2006/relationships/hyperlink" Target="https://twitter.com/poloniatv3/status/1065718106998353920" TargetMode="External"/><Relationship Id="rId632" Type="http://schemas.openxmlformats.org/officeDocument/2006/relationships/hyperlink" Target="http://pic.twitter.com/VgV2jFEZlk" TargetMode="External"/><Relationship Id="rId1055" Type="http://schemas.openxmlformats.org/officeDocument/2006/relationships/hyperlink" Target="http://www.msfassociates.com/" TargetMode="External"/><Relationship Id="rId1262" Type="http://schemas.openxmlformats.org/officeDocument/2006/relationships/hyperlink" Target="http://iusevillaciudad.org/" TargetMode="External"/><Relationship Id="rId2106" Type="http://schemas.openxmlformats.org/officeDocument/2006/relationships/hyperlink" Target="http://www.bitmomentum.com/" TargetMode="External"/><Relationship Id="rId2313" Type="http://schemas.openxmlformats.org/officeDocument/2006/relationships/hyperlink" Target="https://pbs.twimg.com/media/Dsg5hOiU0AADQJF.jpg" TargetMode="External"/><Relationship Id="rId2520" Type="http://schemas.openxmlformats.org/officeDocument/2006/relationships/hyperlink" Target="https://twitter.com/rfecaza/status/1064912318394449920" TargetMode="External"/><Relationship Id="rId2758" Type="http://schemas.openxmlformats.org/officeDocument/2006/relationships/hyperlink" Target="https://youtu.be/ixEpKFp5fKw" TargetMode="External"/><Relationship Id="rId2965" Type="http://schemas.openxmlformats.org/officeDocument/2006/relationships/hyperlink" Target="https://pbs.twimg.com/media/DscP5ZvWwAAqz49.jpg" TargetMode="External"/><Relationship Id="rId937" Type="http://schemas.openxmlformats.org/officeDocument/2006/relationships/hyperlink" Target="http://www.bitmomentum.com/" TargetMode="External"/><Relationship Id="rId1122" Type="http://schemas.openxmlformats.org/officeDocument/2006/relationships/hyperlink" Target="https://twitter.com/ahorapodemos/status/1065338334648647680" TargetMode="External"/><Relationship Id="rId1567" Type="http://schemas.openxmlformats.org/officeDocument/2006/relationships/hyperlink" Target="https://elpais.com/elpais/2018/11/21/opinion/1542806031_921444.html?id_externo_rsoc=TW_CC" TargetMode="External"/><Relationship Id="rId1774" Type="http://schemas.openxmlformats.org/officeDocument/2006/relationships/hyperlink" Target="https://www.youtube.com/c/alfilodelabrecha" TargetMode="External"/><Relationship Id="rId1981" Type="http://schemas.openxmlformats.org/officeDocument/2006/relationships/hyperlink" Target="http://pic.twitter.com/n5U6V9VdAn" TargetMode="External"/><Relationship Id="rId2618" Type="http://schemas.openxmlformats.org/officeDocument/2006/relationships/hyperlink" Target="https://avilared.com/not/36301/rosa-villacastin-fundabem-y-la-usal-distinciones-pablo-iglesias/" TargetMode="External"/><Relationship Id="rId2825" Type="http://schemas.openxmlformats.org/officeDocument/2006/relationships/hyperlink" Target="http://pic.twitter.com/wUQnmH2T6K" TargetMode="External"/><Relationship Id="rId66" Type="http://schemas.openxmlformats.org/officeDocument/2006/relationships/hyperlink" Target="https://gu.com/p/9qt5q?CMP=share_btn_fb" TargetMode="External"/><Relationship Id="rId1427" Type="http://schemas.openxmlformats.org/officeDocument/2006/relationships/hyperlink" Target="https://elpais.com/elpais/2018/11/21/opinion/1542806031_921444.html" TargetMode="External"/><Relationship Id="rId1634" Type="http://schemas.openxmlformats.org/officeDocument/2006/relationships/hyperlink" Target="https://elpais.com/elpais/2018/11/21/opinion/1542806031_921444.html" TargetMode="External"/><Relationship Id="rId1841" Type="http://schemas.openxmlformats.org/officeDocument/2006/relationships/hyperlink" Target="https://pbs.twimg.com/media/DsjwHJnXoAAok2L.jpg" TargetMode="External"/><Relationship Id="rId1939" Type="http://schemas.openxmlformats.org/officeDocument/2006/relationships/hyperlink" Target="https://okdiario.com/investigacion/2016/01/12/policia-descubre-que-dictadura-irani-dado-2-millones-euros-iglesias-entorno-desde-2013-52289" TargetMode="External"/><Relationship Id="rId1701" Type="http://schemas.openxmlformats.org/officeDocument/2006/relationships/hyperlink" Target="https://elpais.com/elpais/2018/11/21/opinion/1542806031_921444.html" TargetMode="External"/><Relationship Id="rId282" Type="http://schemas.openxmlformats.org/officeDocument/2006/relationships/hyperlink" Target="https://www.elmundo.es/espana/2018/11/23/5bf7ccc0268e3e66388b45d4.html" TargetMode="External"/><Relationship Id="rId587" Type="http://schemas.openxmlformats.org/officeDocument/2006/relationships/hyperlink" Target="https://youtu.be/OOoDDdkvZZg" TargetMode="External"/><Relationship Id="rId2170" Type="http://schemas.openxmlformats.org/officeDocument/2006/relationships/hyperlink" Target="https://kaosenlared.net/pablo-iglesiasla-bandera-tricolor-es-el-simbolo-de-los-perdedores-y-no-volvera-a-resurgir/" TargetMode="External"/><Relationship Id="rId2268" Type="http://schemas.openxmlformats.org/officeDocument/2006/relationships/hyperlink" Target="https://twitter.com/Pablo_Iglesias_/status/1065182868538822656" TargetMode="External"/><Relationship Id="rId8" Type="http://schemas.openxmlformats.org/officeDocument/2006/relationships/hyperlink" Target="http://lrzn.es/jn5nd1" TargetMode="External"/><Relationship Id="rId142" Type="http://schemas.openxmlformats.org/officeDocument/2006/relationships/hyperlink" Target="https://www.europapress.es/nacional/noticia-pablo-iglesias-asegura-no-apoyara-pedro-sanchez-patrioterismos-extranos-relacion-gibraltar-20181123115328.html" TargetMode="External"/><Relationship Id="rId447" Type="http://schemas.openxmlformats.org/officeDocument/2006/relationships/hyperlink" Target="http://cadenaser.com/programa/2018/11/22/hoy_por_hoy/1542900365_285470.html" TargetMode="External"/><Relationship Id="rId794" Type="http://schemas.openxmlformats.org/officeDocument/2006/relationships/hyperlink" Target="http://www.eldeber.com.bo/" TargetMode="External"/><Relationship Id="rId1077" Type="http://schemas.openxmlformats.org/officeDocument/2006/relationships/hyperlink" Target="https://www.facebook.com/ffernandezcarrasco1" TargetMode="External"/><Relationship Id="rId2030" Type="http://schemas.openxmlformats.org/officeDocument/2006/relationships/hyperlink" Target="https://nachoescartin.wordpress.com/" TargetMode="External"/><Relationship Id="rId2128" Type="http://schemas.openxmlformats.org/officeDocument/2006/relationships/hyperlink" Target="http://bierzocomarca.eu/index.php?option=com_content&amp;view=article&amp;id=36670:podemos-critica-la-paralizacion-de-las-inversiones-programadas-por-la-junta&amp;catid=21&amp;Itemid=6" TargetMode="External"/><Relationship Id="rId2475" Type="http://schemas.openxmlformats.org/officeDocument/2006/relationships/hyperlink" Target="https://twitter.com/CastigadorY/status/1064942722505736194" TargetMode="External"/><Relationship Id="rId2682" Type="http://schemas.openxmlformats.org/officeDocument/2006/relationships/hyperlink" Target="http://www.diariodeavila.es/" TargetMode="External"/><Relationship Id="rId2987" Type="http://schemas.openxmlformats.org/officeDocument/2006/relationships/hyperlink" Target="http://www.lasexta.com/programas/al-rojo-vivo/" TargetMode="External"/><Relationship Id="rId654" Type="http://schemas.openxmlformats.org/officeDocument/2006/relationships/hyperlink" Target="https://youtu.be/6cetNaEfwpE" TargetMode="External"/><Relationship Id="rId861" Type="http://schemas.openxmlformats.org/officeDocument/2006/relationships/hyperlink" Target="https://twitter.com/Rocigaot/status/1065552316777066496" TargetMode="External"/><Relationship Id="rId959" Type="http://schemas.openxmlformats.org/officeDocument/2006/relationships/hyperlink" Target="https://jotapov.com/2018/11/22/hermann-tertsch-carga-de-nuevo-contra-pablo-iglesias-y-contra-cristina-fallaras/" TargetMode="External"/><Relationship Id="rId1284" Type="http://schemas.openxmlformats.org/officeDocument/2006/relationships/hyperlink" Target="https://pbs.twimg.com/media/Dsmli64X4AEnPXx.jpg" TargetMode="External"/><Relationship Id="rId1491" Type="http://schemas.openxmlformats.org/officeDocument/2006/relationships/hyperlink" Target="http://radio.umh.es/category/programas-radio-umh-2012-2013/musica/mi-musica-es-tu-onda/" TargetMode="External"/><Relationship Id="rId1589" Type="http://schemas.openxmlformats.org/officeDocument/2006/relationships/hyperlink" Target="https://elpais.com/elpais/2018/11/21/opinion/1542806031_921444.html" TargetMode="External"/><Relationship Id="rId2335" Type="http://schemas.openxmlformats.org/officeDocument/2006/relationships/hyperlink" Target="https://www.youtube.com/channel/UCCx9Dm5y3XklFmIq4thw_SQ" TargetMode="External"/><Relationship Id="rId2542" Type="http://schemas.openxmlformats.org/officeDocument/2006/relationships/hyperlink" Target="https://www.youtube.com/watch?v=6ZwD-ng5-Ng" TargetMode="External"/><Relationship Id="rId307" Type="http://schemas.openxmlformats.org/officeDocument/2006/relationships/hyperlink" Target="http://130aniversariougt.es/libro-bolsillo-pablo-iglesias-para-fundar-ugt/" TargetMode="External"/><Relationship Id="rId514" Type="http://schemas.openxmlformats.org/officeDocument/2006/relationships/hyperlink" Target="https://elpais.com/elpais/2018/11/21/opinion/1542806031_921444.html?id_externo_rsoc=TW_CC" TargetMode="External"/><Relationship Id="rId721" Type="http://schemas.openxmlformats.org/officeDocument/2006/relationships/hyperlink" Target="https://www.eldiario.es/_31fba808" TargetMode="External"/><Relationship Id="rId1144" Type="http://schemas.openxmlformats.org/officeDocument/2006/relationships/hyperlink" Target="https://pbs.twimg.com/media/Dsm9fo5WsAEqqmn.jpg" TargetMode="External"/><Relationship Id="rId1351" Type="http://schemas.openxmlformats.org/officeDocument/2006/relationships/hyperlink" Target="http://cort.as/-CJMf" TargetMode="External"/><Relationship Id="rId1449" Type="http://schemas.openxmlformats.org/officeDocument/2006/relationships/hyperlink" Target="https://errenteriagorria.blogspot.com/2018/11/para-que-sirve-hoy-la-monarquia-pablo.html" TargetMode="External"/><Relationship Id="rId1796" Type="http://schemas.openxmlformats.org/officeDocument/2006/relationships/hyperlink" Target="https://medium.com/@c_c_baxter" TargetMode="External"/><Relationship Id="rId2402" Type="http://schemas.openxmlformats.org/officeDocument/2006/relationships/hyperlink" Target="http://desdefuerteventura.es/" TargetMode="External"/><Relationship Id="rId2847" Type="http://schemas.openxmlformats.org/officeDocument/2006/relationships/hyperlink" Target="http://podemos.info/" TargetMode="External"/><Relationship Id="rId88" Type="http://schemas.openxmlformats.org/officeDocument/2006/relationships/hyperlink" Target="http://noticiasgibraltar.es/" TargetMode="External"/><Relationship Id="rId819" Type="http://schemas.openxmlformats.org/officeDocument/2006/relationships/hyperlink" Target="https://pbs.twimg.com/media/DsoFZMfXoAE3aaJ.jpg" TargetMode="External"/><Relationship Id="rId1004" Type="http://schemas.openxmlformats.org/officeDocument/2006/relationships/hyperlink" Target="http://www.cambio16.com/" TargetMode="External"/><Relationship Id="rId1211" Type="http://schemas.openxmlformats.org/officeDocument/2006/relationships/hyperlink" Target="https://juanalberti.wixsite.com/deandarporcasa" TargetMode="External"/><Relationship Id="rId1656" Type="http://schemas.openxmlformats.org/officeDocument/2006/relationships/hyperlink" Target="https://elpais.com/elpais/2018/11/21/opinion/1542806031_921444.html" TargetMode="External"/><Relationship Id="rId1863" Type="http://schemas.openxmlformats.org/officeDocument/2006/relationships/hyperlink" Target="https://pbs.twimg.com/media/DsjlIsyX4AItZfS.jpg" TargetMode="External"/><Relationship Id="rId2707" Type="http://schemas.openxmlformats.org/officeDocument/2006/relationships/hyperlink" Target="http://a.msn.com/01/es-es/BBPULxB?ocid=st" TargetMode="External"/><Relationship Id="rId2914" Type="http://schemas.openxmlformats.org/officeDocument/2006/relationships/hyperlink" Target="https://pbs.twimg.com/media/Dscx3FQXgAAVjAV.jpg" TargetMode="External"/><Relationship Id="rId1309" Type="http://schemas.openxmlformats.org/officeDocument/2006/relationships/hyperlink" Target="http://www.liberaong.org/" TargetMode="External"/><Relationship Id="rId1516" Type="http://schemas.openxmlformats.org/officeDocument/2006/relationships/hyperlink" Target="https://twitter.com/Velherro/status/1065513403677052930" TargetMode="External"/><Relationship Id="rId1723" Type="http://schemas.openxmlformats.org/officeDocument/2006/relationships/hyperlink" Target="https://kaosenlared.net/pablo-iglesiasla-bandera-tricolor-es-el-simbolo-de-los-perdedores-y-no-volvera-a-resurgir/" TargetMode="External"/><Relationship Id="rId1930" Type="http://schemas.openxmlformats.org/officeDocument/2006/relationships/hyperlink" Target="https://pbs.twimg.com/media/DshJpj6XQAAAkBh.jpg" TargetMode="External"/><Relationship Id="rId15" Type="http://schemas.openxmlformats.org/officeDocument/2006/relationships/hyperlink" Target="http://la-protestona.blogspot.com.es/" TargetMode="External"/><Relationship Id="rId2192" Type="http://schemas.openxmlformats.org/officeDocument/2006/relationships/hyperlink" Target="http://www.bitmomentum.com/" TargetMode="External"/><Relationship Id="rId164" Type="http://schemas.openxmlformats.org/officeDocument/2006/relationships/hyperlink" Target="http://www.celag.org/" TargetMode="External"/><Relationship Id="rId371" Type="http://schemas.openxmlformats.org/officeDocument/2006/relationships/hyperlink" Target="https://www.europapress.es/andalucia/noticia-pablo-iglesias-defendera-plantee-teresa-rodriguez-pactos-gobierno-2d-20181123100420.html" TargetMode="External"/><Relationship Id="rId2052" Type="http://schemas.openxmlformats.org/officeDocument/2006/relationships/hyperlink" Target="http://www.bubok.es/libros/238762/LUCIA-Y-SU-SEXTO-SENTIDO-POLITICO" TargetMode="External"/><Relationship Id="rId2497" Type="http://schemas.openxmlformats.org/officeDocument/2006/relationships/hyperlink" Target="https://twitter.com/neonnkid/status/1064990300005953537" TargetMode="External"/><Relationship Id="rId469" Type="http://schemas.openxmlformats.org/officeDocument/2006/relationships/hyperlink" Target="http://www.hoyporhoy.es/" TargetMode="External"/><Relationship Id="rId676" Type="http://schemas.openxmlformats.org/officeDocument/2006/relationships/hyperlink" Target="https://elpais.com/elpais/2018/11/21/opinion/1542806031_921444.html" TargetMode="External"/><Relationship Id="rId883" Type="http://schemas.openxmlformats.org/officeDocument/2006/relationships/hyperlink" Target="https://twitter.com/ANNAGONZALEZLO1/status/1065633366194688000" TargetMode="External"/><Relationship Id="rId1099" Type="http://schemas.openxmlformats.org/officeDocument/2006/relationships/hyperlink" Target="https://curiouscat.me/elrubiusXD" TargetMode="External"/><Relationship Id="rId2357" Type="http://schemas.openxmlformats.org/officeDocument/2006/relationships/hyperlink" Target="https://pbs.twimg.com/media/Dsg2sy2XQAUUiAZ.jpg" TargetMode="External"/><Relationship Id="rId2564" Type="http://schemas.openxmlformats.org/officeDocument/2006/relationships/hyperlink" Target="https://twitter.com/manuperez2002/status/1064935225812283394" TargetMode="External"/><Relationship Id="rId231" Type="http://schemas.openxmlformats.org/officeDocument/2006/relationships/hyperlink" Target="https://okdiario.com/espana/2018/11/23/iglesias-califica-patriotismo-extrano-defender-soberania-gibraltar-3382790" TargetMode="External"/><Relationship Id="rId329" Type="http://schemas.openxmlformats.org/officeDocument/2006/relationships/hyperlink" Target="http://podemos.info/" TargetMode="External"/><Relationship Id="rId536" Type="http://schemas.openxmlformats.org/officeDocument/2006/relationships/hyperlink" Target="http://bizzentte.com/" TargetMode="External"/><Relationship Id="rId1166" Type="http://schemas.openxmlformats.org/officeDocument/2006/relationships/hyperlink" Target="https://elpais.com/elpais/2018/11/21/opinion/1542806031_921444.html" TargetMode="External"/><Relationship Id="rId1373" Type="http://schemas.openxmlformats.org/officeDocument/2006/relationships/hyperlink" Target="https://elpais.com/elpais/2018/11/21/opinion/1542806031_921444.html" TargetMode="External"/><Relationship Id="rId2217" Type="http://schemas.openxmlformats.org/officeDocument/2006/relationships/hyperlink" Target="https://www.periodistadigital.com/opinion/columnistas/2018/11/20/pedro-sanchez-y-pablo-iglesias-son-dos-moscas-de-la-misma-mierda.shtml" TargetMode="External"/><Relationship Id="rId2771" Type="http://schemas.openxmlformats.org/officeDocument/2006/relationships/hyperlink" Target="http://www.eldiestro.es/" TargetMode="External"/><Relationship Id="rId2869" Type="http://schemas.openxmlformats.org/officeDocument/2006/relationships/hyperlink" Target="http://www.lasexta.com/programas/al-rojo-vivo/" TargetMode="External"/><Relationship Id="rId743" Type="http://schemas.openxmlformats.org/officeDocument/2006/relationships/hyperlink" Target="https://youtu.be/j_nd7uCD2po" TargetMode="External"/><Relationship Id="rId950" Type="http://schemas.openxmlformats.org/officeDocument/2006/relationships/hyperlink" Target="https://elpais.com/elpais/2018/11/21/opinion/1542806031_921444.html?id_externo_rsoc=TW_CC" TargetMode="External"/><Relationship Id="rId1026" Type="http://schemas.openxmlformats.org/officeDocument/2006/relationships/hyperlink" Target="http://www.tablondenoticias.com/" TargetMode="External"/><Relationship Id="rId1580" Type="http://schemas.openxmlformats.org/officeDocument/2006/relationships/hyperlink" Target="https://elpais.com/elpais/2018/11/21/opinion/1542806031_921444.html" TargetMode="External"/><Relationship Id="rId1678" Type="http://schemas.openxmlformats.org/officeDocument/2006/relationships/hyperlink" Target="http://bajolempa.wordpress.com/" TargetMode="External"/><Relationship Id="rId1885" Type="http://schemas.openxmlformats.org/officeDocument/2006/relationships/hyperlink" Target="https://twitter.com/pnique/status/1065189164335935488" TargetMode="External"/><Relationship Id="rId2424" Type="http://schemas.openxmlformats.org/officeDocument/2006/relationships/hyperlink" Target="https://www.elmundo.es/andalucia/2018/11/21/5bf46ba046163f4da28b4607.html" TargetMode="External"/><Relationship Id="rId2631" Type="http://schemas.openxmlformats.org/officeDocument/2006/relationships/hyperlink" Target="https://www.periodistadigital.com/periodismo/tv/2018/11/20/pedro-sanchez-pablo-iglesias-presupuestos-elecciones-ferreras-gobierno.shtml" TargetMode="External"/><Relationship Id="rId2729" Type="http://schemas.openxmlformats.org/officeDocument/2006/relationships/hyperlink" Target="https://www.club-caza.com/actualidad/actualver.amp.asp?nn=8107&amp;nn=8107&amp;__twitter_impression=true" TargetMode="External"/><Relationship Id="rId2936" Type="http://schemas.openxmlformats.org/officeDocument/2006/relationships/hyperlink" Target="https://pbs.twimg.com/media/Dscs_7IWwAAI498.jpg" TargetMode="External"/><Relationship Id="rId603" Type="http://schemas.openxmlformats.org/officeDocument/2006/relationships/hyperlink" Target="http://www.rebelion.org/mostrar.php?tipo=5&amp;id=Ignazio%20Aiestaran&amp;inicio=0" TargetMode="External"/><Relationship Id="rId810" Type="http://schemas.openxmlformats.org/officeDocument/2006/relationships/hyperlink" Target="https://www.periodistadigital.com/periodismo/prensa/2018/11/22/elpais-esconde-articulo-pablo-iglesias-para-masacrar-felipe-vi-hacerle-guino-golpistas.shtml" TargetMode="External"/><Relationship Id="rId908" Type="http://schemas.openxmlformats.org/officeDocument/2006/relationships/hyperlink" Target="https://www.elperiodicodearagon.com/noticias/aragon/europa-abre-puerta-aragon-mar_1325430.html" TargetMode="External"/><Relationship Id="rId1233" Type="http://schemas.openxmlformats.org/officeDocument/2006/relationships/hyperlink" Target="https://pbs.twimg.com/media/DslzH3NWoAAQp6c.jpg" TargetMode="External"/><Relationship Id="rId1440" Type="http://schemas.openxmlformats.org/officeDocument/2006/relationships/hyperlink" Target="http://jlazaropt.blogspot.com/" TargetMode="External"/><Relationship Id="rId1538" Type="http://schemas.openxmlformats.org/officeDocument/2006/relationships/hyperlink" Target="https://t.me/AitorRiveiro" TargetMode="External"/><Relationship Id="rId1300" Type="http://schemas.openxmlformats.org/officeDocument/2006/relationships/hyperlink" Target="https://elpais.com/politica/2018/11/14/actualidad/1542191299_860667.html?id_externo_rsoc=FB_CC" TargetMode="External"/><Relationship Id="rId1745" Type="http://schemas.openxmlformats.org/officeDocument/2006/relationships/hyperlink" Target="https://www.laverdad.es/economia/comision-europea-critica-20181121135538-ntrc_amp.html?__twitter_impression=true" TargetMode="External"/><Relationship Id="rId1952" Type="http://schemas.openxmlformats.org/officeDocument/2006/relationships/hyperlink" Target="https://soundcloud.com/habitante-133" TargetMode="External"/><Relationship Id="rId37" Type="http://schemas.openxmlformats.org/officeDocument/2006/relationships/hyperlink" Target="https://pbs.twimg.com/media/DssKT1xXQAE3wME.jpg" TargetMode="External"/><Relationship Id="rId1605" Type="http://schemas.openxmlformats.org/officeDocument/2006/relationships/hyperlink" Target="https://www.elconfidencial.com/espana/2016-04-04/financiacion-ilegal-podemos-venezuela-pago-millones-pablo-iglesias-juan-carlos-monedero-jorge-vestrynge_1178845/" TargetMode="External"/><Relationship Id="rId1812" Type="http://schemas.openxmlformats.org/officeDocument/2006/relationships/hyperlink" Target="https://twitter.com/pnique/status/1065189164335935488" TargetMode="External"/><Relationship Id="rId186" Type="http://schemas.openxmlformats.org/officeDocument/2006/relationships/hyperlink" Target="http://podemos.info/" TargetMode="External"/><Relationship Id="rId393" Type="http://schemas.openxmlformats.org/officeDocument/2006/relationships/hyperlink" Target="https://www.huffingtonpost.es/2018/11/14/que-le-pasa-a-pablo-iglesias-con-las-mujeres_a_23589235/" TargetMode="External"/><Relationship Id="rId2074" Type="http://schemas.openxmlformats.org/officeDocument/2006/relationships/hyperlink" Target="http://podemos.info/" TargetMode="External"/><Relationship Id="rId2281" Type="http://schemas.openxmlformats.org/officeDocument/2006/relationships/hyperlink" Target="http://www.sindicato-asae.com/" TargetMode="External"/><Relationship Id="rId253" Type="http://schemas.openxmlformats.org/officeDocument/2006/relationships/hyperlink" Target="https://www.facebook.com/groups/1523383624657240/?fref=nf" TargetMode="External"/><Relationship Id="rId460" Type="http://schemas.openxmlformats.org/officeDocument/2006/relationships/hyperlink" Target="https://pbs.twimg.com/media/DsmuoVXXgAESFkX.jpg" TargetMode="External"/><Relationship Id="rId698" Type="http://schemas.openxmlformats.org/officeDocument/2006/relationships/hyperlink" Target="https://www.instagram.com/laura_jpg/" TargetMode="External"/><Relationship Id="rId1090" Type="http://schemas.openxmlformats.org/officeDocument/2006/relationships/hyperlink" Target="https://elpais.com/elpais/2018/11/21/opinion/1542806031_921444.amp.html?__twitter_impression=true" TargetMode="External"/><Relationship Id="rId2141" Type="http://schemas.openxmlformats.org/officeDocument/2006/relationships/hyperlink" Target="https://www.elmundo.es/andalucia/2018/11/21/5bf46ba046163f4da28b4607.html" TargetMode="External"/><Relationship Id="rId2379" Type="http://schemas.openxmlformats.org/officeDocument/2006/relationships/hyperlink" Target="https://www.europapress.es/castilla-y-leon/noticia-universidad-salamanca-rosa-villacastin-recibiran-distinciones-pablo-iglesias-ugt-20181120200346.html" TargetMode="External"/><Relationship Id="rId2586" Type="http://schemas.openxmlformats.org/officeDocument/2006/relationships/hyperlink" Target="https://plus.google.com/101097701906649811564" TargetMode="External"/><Relationship Id="rId2793" Type="http://schemas.openxmlformats.org/officeDocument/2006/relationships/hyperlink" Target="http://elconfidencial.com/" TargetMode="External"/><Relationship Id="rId113" Type="http://schemas.openxmlformats.org/officeDocument/2006/relationships/hyperlink" Target="https://www.lapandereta.es/nuevo-ataque-de-hermann-tertsch-al-lider-de-podemos/" TargetMode="External"/><Relationship Id="rId320" Type="http://schemas.openxmlformats.org/officeDocument/2006/relationships/hyperlink" Target="http://pic.twitter.com/M91uVGfXlv" TargetMode="External"/><Relationship Id="rId558" Type="http://schemas.openxmlformats.org/officeDocument/2006/relationships/hyperlink" Target="http://www.ernestopriani.com/" TargetMode="External"/><Relationship Id="rId765" Type="http://schemas.openxmlformats.org/officeDocument/2006/relationships/hyperlink" Target="https://www.periodistadigital.com/periodismo/prensa/2018/11/22/elpais-esconde-articulo-pablo-iglesias-para-masacrar-felipe-vi-hacerle-guino-golpistas.shtml" TargetMode="External"/><Relationship Id="rId972" Type="http://schemas.openxmlformats.org/officeDocument/2006/relationships/hyperlink" Target="https://elpais.com/elpais/2018/11/21/opinion/1542806031_921444.html" TargetMode="External"/><Relationship Id="rId1188" Type="http://schemas.openxmlformats.org/officeDocument/2006/relationships/hyperlink" Target="https://www.vilaweb.cat/noticies/la-fiscalia-espanyola-confirma-que-es-querellara-contra-batlles-catalans-per-l1-o/" TargetMode="External"/><Relationship Id="rId1395" Type="http://schemas.openxmlformats.org/officeDocument/2006/relationships/hyperlink" Target="https://elpais.com/elpais/2018/11/21/opinion/1542806031_921444.html" TargetMode="External"/><Relationship Id="rId2001" Type="http://schemas.openxmlformats.org/officeDocument/2006/relationships/hyperlink" Target="https://pbs.twimg.com/media/DsitL6TXgAEq7nK.jpg" TargetMode="External"/><Relationship Id="rId2239" Type="http://schemas.openxmlformats.org/officeDocument/2006/relationships/hyperlink" Target="http://pic.twitter.com/27biOyXN72" TargetMode="External"/><Relationship Id="rId2446" Type="http://schemas.openxmlformats.org/officeDocument/2006/relationships/hyperlink" Target="https://www.elmundo.es/andalucia/2018/11/21/5bf46ba046163f4da28b4607.html" TargetMode="External"/><Relationship Id="rId2653" Type="http://schemas.openxmlformats.org/officeDocument/2006/relationships/hyperlink" Target="http://podemos.info/" TargetMode="External"/><Relationship Id="rId2860" Type="http://schemas.openxmlformats.org/officeDocument/2006/relationships/hyperlink" Target="https://pbs.twimg.com/media/DsdAKcNWwAAaYAz.png" TargetMode="External"/><Relationship Id="rId418" Type="http://schemas.openxmlformats.org/officeDocument/2006/relationships/hyperlink" Target="https://pbs.twimg.com/media/DsrKLLUWkAA11a3.jpg" TargetMode="External"/><Relationship Id="rId625" Type="http://schemas.openxmlformats.org/officeDocument/2006/relationships/hyperlink" Target="https://elpais.com/elpais/2018/11/21/opinion/1542806031_921444.html?id_externo_rsoc=TW_CC" TargetMode="External"/><Relationship Id="rId832" Type="http://schemas.openxmlformats.org/officeDocument/2006/relationships/hyperlink" Target="http://unmundo-pordelante.blogspot.com.es/" TargetMode="External"/><Relationship Id="rId1048" Type="http://schemas.openxmlformats.org/officeDocument/2006/relationships/hyperlink" Target="http://magnificomargarito.com/" TargetMode="External"/><Relationship Id="rId1255" Type="http://schemas.openxmlformats.org/officeDocument/2006/relationships/hyperlink" Target="https://elpais.com/elpais/2018/11/21/opinion/1542806031_921444.html" TargetMode="External"/><Relationship Id="rId1462" Type="http://schemas.openxmlformats.org/officeDocument/2006/relationships/hyperlink" Target="https://www.elespanol.com/social/20160722/141985976_0.html" TargetMode="External"/><Relationship Id="rId2306" Type="http://schemas.openxmlformats.org/officeDocument/2006/relationships/hyperlink" Target="http://pacomolinadezamora.blogspot.com/" TargetMode="External"/><Relationship Id="rId2513" Type="http://schemas.openxmlformats.org/officeDocument/2006/relationships/hyperlink" Target="http://elregresodejuandemairena.blogspot.com.es/" TargetMode="External"/><Relationship Id="rId2958" Type="http://schemas.openxmlformats.org/officeDocument/2006/relationships/hyperlink" Target="https://www.facebook.com/exiliados.extremoduro" TargetMode="External"/><Relationship Id="rId1115" Type="http://schemas.openxmlformats.org/officeDocument/2006/relationships/hyperlink" Target="http://www.docip.org/" TargetMode="External"/><Relationship Id="rId1322" Type="http://schemas.openxmlformats.org/officeDocument/2006/relationships/hyperlink" Target="http://viajaconjuanmi.blogspot.com.es/" TargetMode="External"/><Relationship Id="rId1767" Type="http://schemas.openxmlformats.org/officeDocument/2006/relationships/hyperlink" Target="https://twitter.com/Andy66Warhol/status/1064811987157336064" TargetMode="External"/><Relationship Id="rId1974" Type="http://schemas.openxmlformats.org/officeDocument/2006/relationships/hyperlink" Target="http://pic.twitter.com/ANWQH9ix08" TargetMode="External"/><Relationship Id="rId2720" Type="http://schemas.openxmlformats.org/officeDocument/2006/relationships/hyperlink" Target="https://pbs.twimg.com/media/DsdkY4PWkAA3Sve.jpg" TargetMode="External"/><Relationship Id="rId2818" Type="http://schemas.openxmlformats.org/officeDocument/2006/relationships/hyperlink" Target="http://elperroverdeverde.blogspot.com.es/?m=1" TargetMode="External"/><Relationship Id="rId59" Type="http://schemas.openxmlformats.org/officeDocument/2006/relationships/hyperlink" Target="https://www.ticketbell.com/musica/mitin-adelante-andalucia-en-sevilla" TargetMode="External"/><Relationship Id="rId1627" Type="http://schemas.openxmlformats.org/officeDocument/2006/relationships/hyperlink" Target="https://elpais.com/elpais/2018/11/21/opinion/1542806031_921444.html?id_externo_rsoc=TW_CC" TargetMode="External"/><Relationship Id="rId1834" Type="http://schemas.openxmlformats.org/officeDocument/2006/relationships/hyperlink" Target="http://pic.twitter.com/FAEopkzz3Z" TargetMode="External"/><Relationship Id="rId2096" Type="http://schemas.openxmlformats.org/officeDocument/2006/relationships/hyperlink" Target="https://twitter.com/i/status/1065199456491053056" TargetMode="External"/><Relationship Id="rId1901" Type="http://schemas.openxmlformats.org/officeDocument/2006/relationships/hyperlink" Target="https://www.instagram.com/asturrosa/" TargetMode="External"/><Relationship Id="rId275" Type="http://schemas.openxmlformats.org/officeDocument/2006/relationships/hyperlink" Target="https://www.elindependiente.com/politica/2018/11/23/pablo-iglesias-defiende-gibraltar-los-trabajadores-no-patriotismo-extrano/?utm_source=share_buttons&amp;utm_medium=twitter&amp;utm_campaign=social_share" TargetMode="External"/><Relationship Id="rId482" Type="http://schemas.openxmlformats.org/officeDocument/2006/relationships/hyperlink" Target="http://cadenaser.com/programa/2018/11/22/hoy_por_hoy/1542900365_285470.html" TargetMode="External"/><Relationship Id="rId2163" Type="http://schemas.openxmlformats.org/officeDocument/2006/relationships/hyperlink" Target="https://www.elmundo.es/andalucia/2018/11/21/5bf46ba046163f4da28b4607.html" TargetMode="External"/><Relationship Id="rId2370" Type="http://schemas.openxmlformats.org/officeDocument/2006/relationships/hyperlink" Target="http://www.rep&#250;blicadeespa&#241;a.com/" TargetMode="External"/><Relationship Id="rId135" Type="http://schemas.openxmlformats.org/officeDocument/2006/relationships/hyperlink" Target="http://tormenta78.com/" TargetMode="External"/><Relationship Id="rId342" Type="http://schemas.openxmlformats.org/officeDocument/2006/relationships/hyperlink" Target="https://elpais.com/elpais/2018/11/21/opinion/1542806031_921444.htm" TargetMode="External"/><Relationship Id="rId787" Type="http://schemas.openxmlformats.org/officeDocument/2006/relationships/hyperlink" Target="https://www.libertaddigital.com/espana/2018-11-22/iglesias-utiliza-el-pais-para-atacar-a-la-monarquia-una-nueva-republica-sera-la-mejor-garantia-para-una-espana-unida-1276628644/" TargetMode="External"/><Relationship Id="rId994" Type="http://schemas.openxmlformats.org/officeDocument/2006/relationships/hyperlink" Target="https://elpais.com/elpais/2018/11/21/opinion/1542806031_921444.html?id_externo_rsoc=TW_CC" TargetMode="External"/><Relationship Id="rId2023" Type="http://schemas.openxmlformats.org/officeDocument/2006/relationships/hyperlink" Target="https://m.eldiario.es/_31f569b9" TargetMode="External"/><Relationship Id="rId2230" Type="http://schemas.openxmlformats.org/officeDocument/2006/relationships/hyperlink" Target="http://www.bitmomentum.com/" TargetMode="External"/><Relationship Id="rId2468" Type="http://schemas.openxmlformats.org/officeDocument/2006/relationships/hyperlink" Target="http://youtu.be/ovQyfpW1sYE?a" TargetMode="External"/><Relationship Id="rId2675" Type="http://schemas.openxmlformats.org/officeDocument/2006/relationships/hyperlink" Target="https://pbs.twimg.com/media/DsdvuUMWoAQessK.jpg" TargetMode="External"/><Relationship Id="rId2882" Type="http://schemas.openxmlformats.org/officeDocument/2006/relationships/hyperlink" Target="https://www.pscp.tv/w/bsQQUjMwMjgzNTd8MWRSS1pPb0J5THpHQif5WIRM2fsv_nbZbys3f83WxJ1KF7ZHG2_iTeV3xKzY?t=4m18s" TargetMode="External"/><Relationship Id="rId202" Type="http://schemas.openxmlformats.org/officeDocument/2006/relationships/hyperlink" Target="https://pbs.twimg.com/media/DsrwNkCW0AAMsld.jpg" TargetMode="External"/><Relationship Id="rId647" Type="http://schemas.openxmlformats.org/officeDocument/2006/relationships/hyperlink" Target="https://m.eldiario.es/_31fba808" TargetMode="External"/><Relationship Id="rId854" Type="http://schemas.openxmlformats.org/officeDocument/2006/relationships/hyperlink" Target="http://ciberiaen.wordpress.com/" TargetMode="External"/><Relationship Id="rId1277" Type="http://schemas.openxmlformats.org/officeDocument/2006/relationships/hyperlink" Target="https://pbs.twimg.com/media/DslubFQXQAAofAn.jpg" TargetMode="External"/><Relationship Id="rId1484" Type="http://schemas.openxmlformats.org/officeDocument/2006/relationships/hyperlink" Target="https://www.statecraft.org.uk/about-us" TargetMode="External"/><Relationship Id="rId1691" Type="http://schemas.openxmlformats.org/officeDocument/2006/relationships/hyperlink" Target="https://oscarguardingo.wordpress.com/" TargetMode="External"/><Relationship Id="rId2328" Type="http://schemas.openxmlformats.org/officeDocument/2006/relationships/hyperlink" Target="https://www.elmundo.es/espana/2018/11/20/5bf407ae46163f14b08b460e.html" TargetMode="External"/><Relationship Id="rId2535" Type="http://schemas.openxmlformats.org/officeDocument/2006/relationships/hyperlink" Target="https://elmunicipio.es/2017/07/lo-que-la-pasionaria-hizo-antes-de-morir-que-tanto-molesta-a-pablo-iglesias-y-a-podemos/" TargetMode="External"/><Relationship Id="rId2742" Type="http://schemas.openxmlformats.org/officeDocument/2006/relationships/hyperlink" Target="http://bit.ly/FotonoticiaPleno20NOV" TargetMode="External"/><Relationship Id="rId507" Type="http://schemas.openxmlformats.org/officeDocument/2006/relationships/hyperlink" Target="https://pbs.twimg.com/media/Dsq9eP7WoAIdhKT.jpg" TargetMode="External"/><Relationship Id="rId714" Type="http://schemas.openxmlformats.org/officeDocument/2006/relationships/hyperlink" Target="http://www.victimasdelajusticia.es/" TargetMode="External"/><Relationship Id="rId921" Type="http://schemas.openxmlformats.org/officeDocument/2006/relationships/hyperlink" Target="https://elpais.com/elpais/2018/11/21/opinion/1542806031_921444.html?id_externo_rsoc=TW_CC" TargetMode="External"/><Relationship Id="rId1137" Type="http://schemas.openxmlformats.org/officeDocument/2006/relationships/hyperlink" Target="https://curiouscat.me/PaxPachona/post/713782016?t=1542892422" TargetMode="External"/><Relationship Id="rId1344" Type="http://schemas.openxmlformats.org/officeDocument/2006/relationships/hyperlink" Target="https://elpais.com/elpais/2018/11/21/opinion/1542806031_921444.html" TargetMode="External"/><Relationship Id="rId1551" Type="http://schemas.openxmlformats.org/officeDocument/2006/relationships/hyperlink" Target="https://www.facebook.com/willytolerdo/videos/511864382556914/" TargetMode="External"/><Relationship Id="rId1789" Type="http://schemas.openxmlformats.org/officeDocument/2006/relationships/hyperlink" Target="https://youtu.be/dJQamM0sPOk" TargetMode="External"/><Relationship Id="rId1996" Type="http://schemas.openxmlformats.org/officeDocument/2006/relationships/hyperlink" Target="http://plaza.podemos.info/" TargetMode="External"/><Relationship Id="rId2602" Type="http://schemas.openxmlformats.org/officeDocument/2006/relationships/hyperlink" Target="https://youtu.be/LsX38asmDmU" TargetMode="External"/><Relationship Id="rId50" Type="http://schemas.openxmlformats.org/officeDocument/2006/relationships/hyperlink" Target="https://pbs.twimg.com/media/DssTWv6X4AAxq0L.jpg" TargetMode="External"/><Relationship Id="rId1204" Type="http://schemas.openxmlformats.org/officeDocument/2006/relationships/hyperlink" Target="http://diariodeunartistadesencajado.blogspot.com.es/" TargetMode="External"/><Relationship Id="rId1411" Type="http://schemas.openxmlformats.org/officeDocument/2006/relationships/hyperlink" Target="https://elpais.com/elpais/2018/11/21/opinion/1542806031_921444.html" TargetMode="External"/><Relationship Id="rId1649" Type="http://schemas.openxmlformats.org/officeDocument/2006/relationships/hyperlink" Target="http://www.giocondabelli.org/" TargetMode="External"/><Relationship Id="rId1856" Type="http://schemas.openxmlformats.org/officeDocument/2006/relationships/hyperlink" Target="https://pbs.twimg.com/media/DsjoagYXgAEX91e.jpg" TargetMode="External"/><Relationship Id="rId2907" Type="http://schemas.openxmlformats.org/officeDocument/2006/relationships/hyperlink" Target="https://twitter.com/malztrunk/status/10646840619800125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2501"/>
  <sheetViews>
    <sheetView tabSelected="1" workbookViewId="0">
      <pane ySplit="2" topLeftCell="A2472" activePane="bottomLeft" state="frozen"/>
      <selection pane="bottomLeft" activeCell="D3" sqref="D3:D2478"/>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28" t="s">
        <v>1</v>
      </c>
      <c r="B1" s="29"/>
      <c r="C1" s="29"/>
      <c r="D1" s="29"/>
      <c r="E1" s="29"/>
      <c r="F1" s="29"/>
      <c r="G1" s="29"/>
      <c r="H1" s="29"/>
      <c r="I1" s="29"/>
      <c r="J1" s="29"/>
      <c r="K1" s="29"/>
      <c r="L1" s="30" t="s">
        <v>2</v>
      </c>
      <c r="M1" s="29"/>
      <c r="N1" s="29"/>
      <c r="O1" s="29"/>
      <c r="P1" s="29"/>
      <c r="Q1" s="29"/>
      <c r="R1" s="29"/>
      <c r="S1" s="29"/>
      <c r="T1" s="29"/>
      <c r="U1" s="29"/>
    </row>
    <row r="2" spans="1:21" ht="29.25" customHeight="1">
      <c r="A2" s="1" t="s">
        <v>0</v>
      </c>
      <c r="B2" s="2" t="s">
        <v>3</v>
      </c>
      <c r="C2" s="2" t="s">
        <v>4</v>
      </c>
      <c r="D2" s="3" t="s">
        <v>5</v>
      </c>
      <c r="E2" s="4" t="s">
        <v>6</v>
      </c>
      <c r="F2" s="4" t="s">
        <v>7</v>
      </c>
      <c r="G2" s="4" t="s">
        <v>8</v>
      </c>
      <c r="H2" s="4" t="s">
        <v>9</v>
      </c>
      <c r="I2" s="2" t="s">
        <v>10</v>
      </c>
      <c r="J2" s="2" t="s">
        <v>11</v>
      </c>
      <c r="K2" s="4" t="s">
        <v>12</v>
      </c>
      <c r="L2" s="2" t="s">
        <v>13</v>
      </c>
      <c r="M2" s="2" t="s">
        <v>14</v>
      </c>
      <c r="N2" s="4" t="s">
        <v>15</v>
      </c>
      <c r="O2" s="4" t="s">
        <v>16</v>
      </c>
      <c r="P2" s="4" t="s">
        <v>17</v>
      </c>
      <c r="Q2" s="4" t="s">
        <v>9</v>
      </c>
      <c r="R2" s="5" t="s">
        <v>18</v>
      </c>
      <c r="S2" s="4" t="s">
        <v>19</v>
      </c>
      <c r="T2" s="4" t="s">
        <v>20</v>
      </c>
      <c r="U2" s="4" t="s">
        <v>21</v>
      </c>
    </row>
    <row r="3" spans="1:21" ht="20.399999999999999">
      <c r="A3" s="6">
        <v>43427.287511574075</v>
      </c>
      <c r="B3" s="7" t="str">
        <f>HYPERLINK("https://twitter.com/PorculioJuan","@PorculioJuan")</f>
        <v>@PorculioJuan</v>
      </c>
      <c r="C3" s="8" t="s">
        <v>22</v>
      </c>
      <c r="D3" s="9" t="s">
        <v>23</v>
      </c>
      <c r="E3" s="10" t="str">
        <f>HYPERLINK("https://twitter.com/PorculioJuan/status/1065981803486420992","1065981803486420992")</f>
        <v>1065981803486420992</v>
      </c>
      <c r="F3" s="11"/>
      <c r="G3" s="11"/>
      <c r="H3" s="11"/>
      <c r="I3" s="12">
        <v>0</v>
      </c>
      <c r="J3" s="12">
        <v>0</v>
      </c>
      <c r="K3" s="13" t="str">
        <f>HYPERLINK("http://twitter.com/download/iphone","Twitter for iPhone")</f>
        <v>Twitter for iPhone</v>
      </c>
      <c r="L3" s="12">
        <v>14</v>
      </c>
      <c r="M3" s="12">
        <v>65</v>
      </c>
      <c r="N3" s="12">
        <v>0</v>
      </c>
      <c r="O3" s="15"/>
      <c r="P3" s="6">
        <v>43252.983159722222</v>
      </c>
      <c r="Q3" s="16" t="s">
        <v>28</v>
      </c>
      <c r="R3" s="17" t="s">
        <v>30</v>
      </c>
      <c r="S3" s="11"/>
      <c r="T3" s="11"/>
      <c r="U3" s="10" t="str">
        <f>HYPERLINK("https://pbs.twimg.com/profile_images/1002803811898023941/PZN_w1fK.jpg","View")</f>
        <v>View</v>
      </c>
    </row>
    <row r="4" spans="1:21" ht="20.399999999999999">
      <c r="A4" s="6">
        <v>43427.287256944444</v>
      </c>
      <c r="B4" s="7" t="str">
        <f>HYPERLINK("https://twitter.com/VictoriAndres1","@VictoriAndres1")</f>
        <v>@VictoriAndres1</v>
      </c>
      <c r="C4" s="8" t="s">
        <v>33</v>
      </c>
      <c r="D4" s="9" t="s">
        <v>34</v>
      </c>
      <c r="E4" s="10" t="str">
        <f>HYPERLINK("https://twitter.com/VictoriAndres1/status/1065981712230957061","1065981712230957061")</f>
        <v>1065981712230957061</v>
      </c>
      <c r="F4" s="14" t="s">
        <v>36</v>
      </c>
      <c r="G4" s="11"/>
      <c r="H4" s="11"/>
      <c r="I4" s="12">
        <v>0</v>
      </c>
      <c r="J4" s="12">
        <v>0</v>
      </c>
      <c r="K4" s="13" t="str">
        <f>HYPERLINK("http://www.facebook.com/twitter","Facebook")</f>
        <v>Facebook</v>
      </c>
      <c r="L4" s="12">
        <v>196</v>
      </c>
      <c r="M4" s="12">
        <v>292</v>
      </c>
      <c r="N4" s="12">
        <v>1</v>
      </c>
      <c r="O4" s="15"/>
      <c r="P4" s="6">
        <v>40992.087916666671</v>
      </c>
      <c r="Q4" s="16" t="s">
        <v>38</v>
      </c>
      <c r="R4" s="17" t="s">
        <v>40</v>
      </c>
      <c r="S4" s="14" t="s">
        <v>41</v>
      </c>
      <c r="T4" s="11"/>
      <c r="U4" s="10" t="str">
        <f>HYPERLINK("https://pbs.twimg.com/profile_images/1018850373476454400/___hRpp7.jpg","View")</f>
        <v>View</v>
      </c>
    </row>
    <row r="5" spans="1:21" ht="40.799999999999997">
      <c r="A5" s="6">
        <v>43427.287233796298</v>
      </c>
      <c r="B5" s="7" t="str">
        <f>HYPERLINK("https://twitter.com/SandraStoneM","@SandraStoneM")</f>
        <v>@SandraStoneM</v>
      </c>
      <c r="C5" s="8" t="s">
        <v>42</v>
      </c>
      <c r="D5" s="9" t="s">
        <v>43</v>
      </c>
      <c r="E5" s="10" t="str">
        <f>HYPERLINK("https://twitter.com/SandraStoneM/status/1065981702042984451","1065981702042984451")</f>
        <v>1065981702042984451</v>
      </c>
      <c r="F5" s="16" t="s">
        <v>44</v>
      </c>
      <c r="G5" s="11"/>
      <c r="H5" s="11"/>
      <c r="I5" s="12">
        <v>0</v>
      </c>
      <c r="J5" s="12">
        <v>0</v>
      </c>
      <c r="K5" s="13" t="str">
        <f>HYPERLINK("http://twitter.com/download/android","Twitter for Android")</f>
        <v>Twitter for Android</v>
      </c>
      <c r="L5" s="12">
        <v>780</v>
      </c>
      <c r="M5" s="12">
        <v>1206</v>
      </c>
      <c r="N5" s="12">
        <v>28</v>
      </c>
      <c r="O5" s="15"/>
      <c r="P5" s="6">
        <v>40972.741597222222</v>
      </c>
      <c r="Q5" s="16" t="s">
        <v>45</v>
      </c>
      <c r="R5" s="17" t="s">
        <v>46</v>
      </c>
      <c r="S5" s="11"/>
      <c r="T5" s="11"/>
      <c r="U5" s="10" t="str">
        <f>HYPERLINK("https://pbs.twimg.com/profile_images/864259597032460291/hyqDxJ0e.jpg","View")</f>
        <v>View</v>
      </c>
    </row>
    <row r="6" spans="1:21" ht="40.799999999999997">
      <c r="A6" s="6">
        <v>43427.28670138889</v>
      </c>
      <c r="B6" s="7" t="str">
        <f>HYPERLINK("https://twitter.com/ahorapodemos","@ahorapodemos")</f>
        <v>@ahorapodemos</v>
      </c>
      <c r="C6" s="8" t="s">
        <v>48</v>
      </c>
      <c r="D6" s="9" t="s">
        <v>49</v>
      </c>
      <c r="E6" s="10" t="str">
        <f>HYPERLINK("https://twitter.com/ahorapodemos/status/1065981511541944320","1065981511541944320")</f>
        <v>1065981511541944320</v>
      </c>
      <c r="F6" s="14" t="s">
        <v>50</v>
      </c>
      <c r="G6" s="11"/>
      <c r="H6" s="11"/>
      <c r="I6" s="12">
        <v>8</v>
      </c>
      <c r="J6" s="12">
        <v>4</v>
      </c>
      <c r="K6" s="13" t="str">
        <f>HYPERLINK("https://studio.twitter.com","Media Studio")</f>
        <v>Media Studio</v>
      </c>
      <c r="L6" s="12">
        <v>1338988</v>
      </c>
      <c r="M6" s="12">
        <v>1529</v>
      </c>
      <c r="N6" s="12">
        <v>5654</v>
      </c>
      <c r="O6" s="18" t="s">
        <v>52</v>
      </c>
      <c r="P6" s="6">
        <v>41651.201979166668</v>
      </c>
      <c r="Q6" s="16" t="s">
        <v>54</v>
      </c>
      <c r="R6" s="17" t="s">
        <v>56</v>
      </c>
      <c r="S6" s="14" t="s">
        <v>58</v>
      </c>
      <c r="T6" s="11"/>
      <c r="U6" s="10" t="str">
        <f>HYPERLINK("https://pbs.twimg.com/profile_images/1036536413548892160/J0K-j7cz.jpg","View")</f>
        <v>View</v>
      </c>
    </row>
    <row r="7" spans="1:21" ht="30.6">
      <c r="A7" s="6">
        <v>43427.285578703704</v>
      </c>
      <c r="B7" s="7" t="str">
        <f>HYPERLINK("https://twitter.com/sextavision_","@sextavision_")</f>
        <v>@sextavision_</v>
      </c>
      <c r="C7" s="8" t="s">
        <v>59</v>
      </c>
      <c r="D7" s="9" t="s">
        <v>60</v>
      </c>
      <c r="E7" s="10" t="str">
        <f>HYPERLINK("https://twitter.com/sextavision_/status/1065981103331254273","1065981103331254273")</f>
        <v>1065981103331254273</v>
      </c>
      <c r="F7" s="14" t="s">
        <v>61</v>
      </c>
      <c r="G7" s="14" t="s">
        <v>62</v>
      </c>
      <c r="H7" s="11"/>
      <c r="I7" s="12">
        <v>0</v>
      </c>
      <c r="J7" s="12">
        <v>0</v>
      </c>
      <c r="K7" s="13" t="str">
        <f>HYPERLINK("https://buffer.com","Buffer")</f>
        <v>Buffer</v>
      </c>
      <c r="L7" s="12">
        <v>12</v>
      </c>
      <c r="M7" s="12">
        <v>41</v>
      </c>
      <c r="N7" s="12">
        <v>1</v>
      </c>
      <c r="O7" s="15"/>
      <c r="P7" s="6">
        <v>40472.674780092595</v>
      </c>
      <c r="Q7" s="16" t="s">
        <v>63</v>
      </c>
      <c r="R7" s="17" t="s">
        <v>64</v>
      </c>
      <c r="S7" s="14" t="s">
        <v>65</v>
      </c>
      <c r="T7" s="11"/>
      <c r="U7" s="10" t="str">
        <f>HYPERLINK("https://pbs.twimg.com/profile_images/819694265039224833/WlhNEkDE.jpg","View")</f>
        <v>View</v>
      </c>
    </row>
    <row r="8" spans="1:21" ht="40.799999999999997">
      <c r="A8" s="6">
        <v>43427.284513888888</v>
      </c>
      <c r="B8" s="7" t="str">
        <f>HYPERLINK("https://twitter.com/larazon_es","@larazon_es")</f>
        <v>@larazon_es</v>
      </c>
      <c r="C8" s="8" t="s">
        <v>66</v>
      </c>
      <c r="D8" s="9" t="s">
        <v>67</v>
      </c>
      <c r="E8" s="10" t="str">
        <f>HYPERLINK("https://twitter.com/larazon_es/status/1065980717530824704","1065980717530824704")</f>
        <v>1065980717530824704</v>
      </c>
      <c r="F8" s="14" t="s">
        <v>69</v>
      </c>
      <c r="G8" s="14" t="s">
        <v>70</v>
      </c>
      <c r="H8" s="11"/>
      <c r="I8" s="12">
        <v>0</v>
      </c>
      <c r="J8" s="12">
        <v>1</v>
      </c>
      <c r="K8" s="13" t="str">
        <f>HYPERLINK("http://dogtrack.es","DogTrack_Oficial")</f>
        <v>DogTrack_Oficial</v>
      </c>
      <c r="L8" s="12">
        <v>439420</v>
      </c>
      <c r="M8" s="12">
        <v>2957</v>
      </c>
      <c r="N8" s="12">
        <v>6145</v>
      </c>
      <c r="O8" s="18" t="s">
        <v>52</v>
      </c>
      <c r="P8" s="6">
        <v>40218.155092592591</v>
      </c>
      <c r="Q8" s="16" t="s">
        <v>28</v>
      </c>
      <c r="R8" s="17" t="s">
        <v>71</v>
      </c>
      <c r="S8" s="14" t="s">
        <v>72</v>
      </c>
      <c r="T8" s="11"/>
      <c r="U8" s="10" t="str">
        <f>HYPERLINK("https://pbs.twimg.com/profile_images/1038331271108341762/TPuwz6wc.jpg","View")</f>
        <v>View</v>
      </c>
    </row>
    <row r="9" spans="1:21" ht="20.399999999999999">
      <c r="A9" s="6">
        <v>43427.28324074074</v>
      </c>
      <c r="B9" s="7" t="str">
        <f>HYPERLINK("https://twitter.com/manufa1955","@manufa1955")</f>
        <v>@manufa1955</v>
      </c>
      <c r="C9" s="8" t="s">
        <v>73</v>
      </c>
      <c r="D9" s="9" t="s">
        <v>74</v>
      </c>
      <c r="E9" s="10" t="str">
        <f>HYPERLINK("https://twitter.com/manufa1955/status/1065980254458654720","1065980254458654720")</f>
        <v>1065980254458654720</v>
      </c>
      <c r="F9" s="14" t="s">
        <v>75</v>
      </c>
      <c r="G9" s="11"/>
      <c r="H9" s="11"/>
      <c r="I9" s="12">
        <v>0</v>
      </c>
      <c r="J9" s="12">
        <v>0</v>
      </c>
      <c r="K9" s="13" t="str">
        <f>HYPERLINK("http://www.facebook.com/twitter","Facebook")</f>
        <v>Facebook</v>
      </c>
      <c r="L9" s="12">
        <v>176</v>
      </c>
      <c r="M9" s="12">
        <v>48</v>
      </c>
      <c r="N9" s="12">
        <v>6</v>
      </c>
      <c r="O9" s="15"/>
      <c r="P9" s="6">
        <v>40460.599108796298</v>
      </c>
      <c r="Q9" s="16" t="s">
        <v>77</v>
      </c>
      <c r="R9" s="19"/>
      <c r="S9" s="14" t="s">
        <v>80</v>
      </c>
      <c r="T9" s="11"/>
      <c r="U9" s="10" t="str">
        <f>HYPERLINK("https://pbs.twimg.com/profile_images/3556471273/b12f18f17841bf308162a9bc287448d3.jpeg","View")</f>
        <v>View</v>
      </c>
    </row>
    <row r="10" spans="1:21" ht="51">
      <c r="A10" s="6">
        <v>43427.28125</v>
      </c>
      <c r="B10" s="7" t="str">
        <f>HYPERLINK("https://twitter.com/indpcom","@indpcom")</f>
        <v>@indpcom</v>
      </c>
      <c r="C10" s="8" t="s">
        <v>84</v>
      </c>
      <c r="D10" s="9" t="s">
        <v>85</v>
      </c>
      <c r="E10" s="10" t="str">
        <f>HYPERLINK("https://twitter.com/indpcom/status/1065979533759672320","1065979533759672320")</f>
        <v>1065979533759672320</v>
      </c>
      <c r="F10" s="14" t="s">
        <v>86</v>
      </c>
      <c r="G10" s="11"/>
      <c r="H10" s="11"/>
      <c r="I10" s="12">
        <v>1</v>
      </c>
      <c r="J10" s="12">
        <v>1</v>
      </c>
      <c r="K10" s="13" t="str">
        <f>HYPERLINK("https://about.twitter.com/products/tweetdeck","TweetDeck")</f>
        <v>TweetDeck</v>
      </c>
      <c r="L10" s="12">
        <v>57678</v>
      </c>
      <c r="M10" s="12">
        <v>1302</v>
      </c>
      <c r="N10" s="12">
        <v>1097</v>
      </c>
      <c r="O10" s="18" t="s">
        <v>52</v>
      </c>
      <c r="P10" s="6">
        <v>42537.327719907407</v>
      </c>
      <c r="Q10" s="16" t="s">
        <v>87</v>
      </c>
      <c r="R10" s="17" t="s">
        <v>88</v>
      </c>
      <c r="S10" s="14" t="s">
        <v>89</v>
      </c>
      <c r="T10" s="11"/>
      <c r="U10" s="10" t="str">
        <f>HYPERLINK("https://pbs.twimg.com/profile_images/773807977069420544/o4tNI4zQ.jpg","View")</f>
        <v>View</v>
      </c>
    </row>
    <row r="11" spans="1:21" ht="51">
      <c r="A11" s="6">
        <v>43427.280868055561</v>
      </c>
      <c r="B11" s="7" t="str">
        <f>HYPERLINK("https://twitter.com/alethiagorria","@alethiagorria")</f>
        <v>@alethiagorria</v>
      </c>
      <c r="C11" s="8" t="s">
        <v>90</v>
      </c>
      <c r="D11" s="9" t="s">
        <v>91</v>
      </c>
      <c r="E11" s="10" t="str">
        <f>HYPERLINK("https://twitter.com/alethiagorria/status/1065979395725250560","1065979395725250560")</f>
        <v>1065979395725250560</v>
      </c>
      <c r="F11" s="16" t="s">
        <v>92</v>
      </c>
      <c r="G11" s="11"/>
      <c r="H11" s="11"/>
      <c r="I11" s="12">
        <v>2</v>
      </c>
      <c r="J11" s="12">
        <v>1</v>
      </c>
      <c r="K11" s="13" t="str">
        <f t="shared" ref="K11:K13" si="0">HYPERLINK("http://twitter.com/download/android","Twitter for Android")</f>
        <v>Twitter for Android</v>
      </c>
      <c r="L11" s="12">
        <v>1688</v>
      </c>
      <c r="M11" s="12">
        <v>820</v>
      </c>
      <c r="N11" s="12">
        <v>27</v>
      </c>
      <c r="O11" s="15"/>
      <c r="P11" s="6">
        <v>42051.471666666665</v>
      </c>
      <c r="Q11" s="11"/>
      <c r="R11" s="17" t="s">
        <v>94</v>
      </c>
      <c r="S11" s="14" t="s">
        <v>95</v>
      </c>
      <c r="T11" s="11"/>
      <c r="U11" s="10" t="str">
        <f>HYPERLINK("https://pbs.twimg.com/profile_images/982606966089449472/N3eL3n7p.jpg","View")</f>
        <v>View</v>
      </c>
    </row>
    <row r="12" spans="1:21" ht="51">
      <c r="A12" s="6">
        <v>43427.280706018515</v>
      </c>
      <c r="B12" s="7" t="str">
        <f>HYPERLINK("https://twitter.com/PabloDuraRuso","@PabloDuraRuso")</f>
        <v>@PabloDuraRuso</v>
      </c>
      <c r="C12" s="8" t="s">
        <v>24</v>
      </c>
      <c r="D12" s="9" t="s">
        <v>25</v>
      </c>
      <c r="E12" s="10" t="str">
        <f>HYPERLINK("https://twitter.com/PabloDuraRuso/status/1065979336505872385","1065979336505872385")</f>
        <v>1065979336505872385</v>
      </c>
      <c r="F12" s="11"/>
      <c r="G12" s="14" t="s">
        <v>26</v>
      </c>
      <c r="H12" s="11"/>
      <c r="I12" s="12">
        <v>1</v>
      </c>
      <c r="J12" s="12">
        <v>2</v>
      </c>
      <c r="K12" s="13" t="str">
        <f t="shared" si="0"/>
        <v>Twitter for Android</v>
      </c>
      <c r="L12" s="12">
        <v>323</v>
      </c>
      <c r="M12" s="12">
        <v>307</v>
      </c>
      <c r="N12" s="12">
        <v>20</v>
      </c>
      <c r="O12" s="15"/>
      <c r="P12" s="6">
        <v>41108.55259259259</v>
      </c>
      <c r="Q12" s="16" t="s">
        <v>27</v>
      </c>
      <c r="R12" s="17" t="s">
        <v>29</v>
      </c>
      <c r="S12" s="14" t="s">
        <v>31</v>
      </c>
      <c r="T12" s="11"/>
      <c r="U12" s="10" t="str">
        <f>HYPERLINK("https://pbs.twimg.com/profile_images/547482577335238656/rPeIg9Px.jpeg","View")</f>
        <v>View</v>
      </c>
    </row>
    <row r="13" spans="1:21" ht="30.6">
      <c r="A13" s="6">
        <v>43427.279780092591</v>
      </c>
      <c r="B13" s="7" t="str">
        <f>HYPERLINK("https://twitter.com/moisito_03","@moisito_03")</f>
        <v>@moisito_03</v>
      </c>
      <c r="C13" s="8" t="s">
        <v>98</v>
      </c>
      <c r="D13" s="9" t="s">
        <v>99</v>
      </c>
      <c r="E13" s="10" t="str">
        <f>HYPERLINK("https://twitter.com/moisito_03/status/1065979002274365440","1065979002274365440")</f>
        <v>1065979002274365440</v>
      </c>
      <c r="F13" s="11"/>
      <c r="G13" s="11"/>
      <c r="H13" s="11"/>
      <c r="I13" s="12">
        <v>0</v>
      </c>
      <c r="J13" s="12">
        <v>0</v>
      </c>
      <c r="K13" s="13" t="str">
        <f t="shared" si="0"/>
        <v>Twitter for Android</v>
      </c>
      <c r="L13" s="12">
        <v>16</v>
      </c>
      <c r="M13" s="12">
        <v>193</v>
      </c>
      <c r="N13" s="12">
        <v>1</v>
      </c>
      <c r="O13" s="15"/>
      <c r="P13" s="6">
        <v>42555.477222222224</v>
      </c>
      <c r="Q13" s="16" t="s">
        <v>100</v>
      </c>
      <c r="R13" s="17" t="s">
        <v>101</v>
      </c>
      <c r="S13" s="11"/>
      <c r="T13" s="11"/>
      <c r="U13" s="10" t="str">
        <f>HYPERLINK("https://pbs.twimg.com/profile_images/973963028310917120/2O5E4kRm.jpg","View")</f>
        <v>View</v>
      </c>
    </row>
    <row r="14" spans="1:21" ht="40.799999999999997">
      <c r="A14" s="6">
        <v>43427.279583333337</v>
      </c>
      <c r="B14" s="7" t="str">
        <f>HYPERLINK("https://twitter.com/SergioCor01","@SergioCor01")</f>
        <v>@SergioCor01</v>
      </c>
      <c r="C14" s="8" t="s">
        <v>103</v>
      </c>
      <c r="D14" s="9" t="s">
        <v>104</v>
      </c>
      <c r="E14" s="10" t="str">
        <f>HYPERLINK("https://twitter.com/SergioCor01/status/1065978928966365184","1065978928966365184")</f>
        <v>1065978928966365184</v>
      </c>
      <c r="F14" s="11"/>
      <c r="G14" s="14" t="s">
        <v>105</v>
      </c>
      <c r="H14" s="11"/>
      <c r="I14" s="12">
        <v>0</v>
      </c>
      <c r="J14" s="12">
        <v>0</v>
      </c>
      <c r="K14" s="13" t="str">
        <f>HYPERLINK("http://twitter.com/download/iphone","Twitter for iPhone")</f>
        <v>Twitter for iPhone</v>
      </c>
      <c r="L14" s="12">
        <v>294</v>
      </c>
      <c r="M14" s="12">
        <v>251</v>
      </c>
      <c r="N14" s="12">
        <v>12</v>
      </c>
      <c r="O14" s="15"/>
      <c r="P14" s="6">
        <v>40855.543194444443</v>
      </c>
      <c r="Q14" s="16" t="s">
        <v>108</v>
      </c>
      <c r="R14" s="17" t="s">
        <v>109</v>
      </c>
      <c r="S14" s="11"/>
      <c r="T14" s="11"/>
      <c r="U14" s="10" t="str">
        <f>HYPERLINK("https://pbs.twimg.com/profile_images/1011567418211274752/IsqGmVMP.jpg","View")</f>
        <v>View</v>
      </c>
    </row>
    <row r="15" spans="1:21" ht="40.799999999999997">
      <c r="A15" s="6">
        <v>43427.276388888888</v>
      </c>
      <c r="B15" s="7" t="str">
        <f>HYPERLINK("https://twitter.com/SputnikMundo","@SputnikMundo")</f>
        <v>@SputnikMundo</v>
      </c>
      <c r="C15" s="8" t="s">
        <v>110</v>
      </c>
      <c r="D15" s="9" t="s">
        <v>111</v>
      </c>
      <c r="E15" s="10" t="str">
        <f>HYPERLINK("https://twitter.com/SputnikMundo/status/1065977771883732998","1065977771883732998")</f>
        <v>1065977771883732998</v>
      </c>
      <c r="F15" s="14" t="s">
        <v>112</v>
      </c>
      <c r="G15" s="11"/>
      <c r="H15" s="11"/>
      <c r="I15" s="12">
        <v>1</v>
      </c>
      <c r="J15" s="12">
        <v>1</v>
      </c>
      <c r="K15" s="13" t="str">
        <f>HYPERLINK("https://about.twitter.com/products/tweetdeck","TweetDeck")</f>
        <v>TweetDeck</v>
      </c>
      <c r="L15" s="12">
        <v>62296</v>
      </c>
      <c r="M15" s="12">
        <v>148</v>
      </c>
      <c r="N15" s="12">
        <v>1382</v>
      </c>
      <c r="O15" s="18" t="s">
        <v>52</v>
      </c>
      <c r="P15" s="6">
        <v>40590.159212962964</v>
      </c>
      <c r="Q15" s="16" t="s">
        <v>113</v>
      </c>
      <c r="R15" s="17" t="s">
        <v>114</v>
      </c>
      <c r="S15" s="14" t="s">
        <v>115</v>
      </c>
      <c r="T15" s="11"/>
      <c r="U15" s="10" t="str">
        <f>HYPERLINK("https://pbs.twimg.com/profile_images/1001124018030866432/SDDNffA0.jpg","View")</f>
        <v>View</v>
      </c>
    </row>
    <row r="16" spans="1:21" ht="20.399999999999999">
      <c r="A16" s="6">
        <v>43427.275995370372</v>
      </c>
      <c r="B16" s="7" t="str">
        <f>HYPERLINK("https://twitter.com/negativo_stats","@negativo_stats")</f>
        <v>@negativo_stats</v>
      </c>
      <c r="C16" s="8" t="s">
        <v>117</v>
      </c>
      <c r="D16" s="9" t="s">
        <v>118</v>
      </c>
      <c r="E16" s="10" t="str">
        <f>HYPERLINK("https://twitter.com/negativo_stats/status/1065977629487112197","1065977629487112197")</f>
        <v>1065977629487112197</v>
      </c>
      <c r="F16" s="11"/>
      <c r="G16" s="14" t="s">
        <v>119</v>
      </c>
      <c r="H16" s="11"/>
      <c r="I16" s="12">
        <v>0</v>
      </c>
      <c r="J16" s="12">
        <v>0</v>
      </c>
      <c r="K16" s="13" t="str">
        <f>HYPERLINK("http://kosmonautica.es","Política Negativa")</f>
        <v>Política Negativa</v>
      </c>
      <c r="L16" s="12">
        <v>256</v>
      </c>
      <c r="M16" s="12">
        <v>694</v>
      </c>
      <c r="N16" s="12">
        <v>2</v>
      </c>
      <c r="O16" s="15"/>
      <c r="P16" s="6">
        <v>42171.395601851851</v>
      </c>
      <c r="Q16" s="16" t="s">
        <v>87</v>
      </c>
      <c r="R16" s="17" t="s">
        <v>120</v>
      </c>
      <c r="S16" s="11"/>
      <c r="T16" s="11"/>
      <c r="U16" s="10" t="str">
        <f>HYPERLINK("https://pbs.twimg.com/profile_images/628553625984438272/e-VHyhP1.png","View")</f>
        <v>View</v>
      </c>
    </row>
    <row r="17" spans="1:21" ht="30.6">
      <c r="A17" s="6">
        <v>43427.274479166663</v>
      </c>
      <c r="B17" s="7" t="str">
        <f>HYPERLINK("https://twitter.com/JoseLui43872588","@JoseLui43872588")</f>
        <v>@JoseLui43872588</v>
      </c>
      <c r="C17" s="8" t="s">
        <v>121</v>
      </c>
      <c r="D17" s="9" t="s">
        <v>122</v>
      </c>
      <c r="E17" s="10" t="str">
        <f>HYPERLINK("https://twitter.com/JoseLui43872588/status/1065977078649159687","1065977078649159687")</f>
        <v>1065977078649159687</v>
      </c>
      <c r="F17" s="11"/>
      <c r="G17" s="11"/>
      <c r="H17" s="11"/>
      <c r="I17" s="12">
        <v>0</v>
      </c>
      <c r="J17" s="12">
        <v>0</v>
      </c>
      <c r="K17" s="13" t="str">
        <f t="shared" ref="K17:K18" si="1">HYPERLINK("http://twitter.com/download/android","Twitter for Android")</f>
        <v>Twitter for Android</v>
      </c>
      <c r="L17" s="12">
        <v>512</v>
      </c>
      <c r="M17" s="12">
        <v>128</v>
      </c>
      <c r="N17" s="12">
        <v>7</v>
      </c>
      <c r="O17" s="15"/>
      <c r="P17" s="6">
        <v>42705.624224537038</v>
      </c>
      <c r="Q17" s="16" t="s">
        <v>123</v>
      </c>
      <c r="R17" s="17" t="s">
        <v>124</v>
      </c>
      <c r="S17" s="11"/>
      <c r="T17" s="11"/>
      <c r="U17" s="10" t="str">
        <f>HYPERLINK("https://pbs.twimg.com/profile_images/1009872713064820737/I4zrX8RR.jpg","View")</f>
        <v>View</v>
      </c>
    </row>
    <row r="18" spans="1:21" ht="61.2">
      <c r="A18" s="6">
        <v>43427.274108796293</v>
      </c>
      <c r="B18" s="7" t="str">
        <f>HYPERLINK("https://twitter.com/josepastranote","@josepastranote")</f>
        <v>@josepastranote</v>
      </c>
      <c r="C18" s="8" t="s">
        <v>125</v>
      </c>
      <c r="D18" s="9" t="s">
        <v>126</v>
      </c>
      <c r="E18" s="10" t="str">
        <f>HYPERLINK("https://twitter.com/josepastranote/status/1065976944381046785","1065976944381046785")</f>
        <v>1065976944381046785</v>
      </c>
      <c r="F18" s="11"/>
      <c r="G18" s="14" t="s">
        <v>127</v>
      </c>
      <c r="H18" s="11"/>
      <c r="I18" s="12">
        <v>0</v>
      </c>
      <c r="J18" s="12">
        <v>0</v>
      </c>
      <c r="K18" s="13" t="str">
        <f t="shared" si="1"/>
        <v>Twitter for Android</v>
      </c>
      <c r="L18" s="12">
        <v>145</v>
      </c>
      <c r="M18" s="12">
        <v>294</v>
      </c>
      <c r="N18" s="12">
        <v>1</v>
      </c>
      <c r="O18" s="15"/>
      <c r="P18" s="6">
        <v>40636.154606481483</v>
      </c>
      <c r="Q18" s="11"/>
      <c r="R18" s="17" t="s">
        <v>128</v>
      </c>
      <c r="S18" s="11"/>
      <c r="T18" s="11"/>
      <c r="U18" s="10" t="str">
        <f>HYPERLINK("https://pbs.twimg.com/profile_images/1051441796902002690/f1A7-S5t.jpg","View")</f>
        <v>View</v>
      </c>
    </row>
    <row r="19" spans="1:21" ht="40.799999999999997">
      <c r="A19" s="6">
        <v>43427.27375</v>
      </c>
      <c r="B19" s="7" t="str">
        <f>HYPERLINK("https://twitter.com/noticiasmadrid","@noticiasmadrid")</f>
        <v>@noticiasmadrid</v>
      </c>
      <c r="C19" s="8" t="s">
        <v>131</v>
      </c>
      <c r="D19" s="9" t="s">
        <v>133</v>
      </c>
      <c r="E19" s="10" t="str">
        <f>HYPERLINK("https://twitter.com/noticiasmadrid/status/1065976814001156096","1065976814001156096")</f>
        <v>1065976814001156096</v>
      </c>
      <c r="F19" s="14" t="s">
        <v>135</v>
      </c>
      <c r="G19" s="11"/>
      <c r="H19" s="11"/>
      <c r="I19" s="12">
        <v>0</v>
      </c>
      <c r="J19" s="12">
        <v>0</v>
      </c>
      <c r="K19" s="13" t="str">
        <f>HYPERLINK("https://ifttt.com","IFTTT")</f>
        <v>IFTTT</v>
      </c>
      <c r="L19" s="12">
        <v>7061</v>
      </c>
      <c r="M19" s="12">
        <v>2018</v>
      </c>
      <c r="N19" s="12">
        <v>262</v>
      </c>
      <c r="O19" s="15"/>
      <c r="P19" s="6">
        <v>40293.689328703702</v>
      </c>
      <c r="Q19" s="16" t="s">
        <v>93</v>
      </c>
      <c r="R19" s="17" t="s">
        <v>137</v>
      </c>
      <c r="S19" s="14" t="s">
        <v>138</v>
      </c>
      <c r="T19" s="11"/>
      <c r="U19" s="10" t="str">
        <f>HYPERLINK("https://pbs.twimg.com/profile_images/1050392555219808257/08qBaipp.jpg","View")</f>
        <v>View</v>
      </c>
    </row>
    <row r="20" spans="1:21" ht="51">
      <c r="A20" s="6">
        <v>43427.272187499999</v>
      </c>
      <c r="B20" s="7" t="str">
        <f>HYPERLINK("https://twitter.com/Marsais_","@Marsais_")</f>
        <v>@Marsais_</v>
      </c>
      <c r="C20" s="8" t="s">
        <v>129</v>
      </c>
      <c r="D20" s="9" t="s">
        <v>130</v>
      </c>
      <c r="E20" s="10" t="str">
        <f>HYPERLINK("https://twitter.com/Marsais_/status/1065976248759926784","1065976248759926784")</f>
        <v>1065976248759926784</v>
      </c>
      <c r="F20" s="11"/>
      <c r="G20" s="14" t="s">
        <v>134</v>
      </c>
      <c r="H20" s="11"/>
      <c r="I20" s="12">
        <v>3</v>
      </c>
      <c r="J20" s="12">
        <v>1</v>
      </c>
      <c r="K20" s="13" t="str">
        <f t="shared" ref="K20:K21" si="2">HYPERLINK("http://twitter.com/download/iphone","Twitter for iPhone")</f>
        <v>Twitter for iPhone</v>
      </c>
      <c r="L20" s="12">
        <v>4987</v>
      </c>
      <c r="M20" s="12">
        <v>2731</v>
      </c>
      <c r="N20" s="12">
        <v>79</v>
      </c>
      <c r="O20" s="15"/>
      <c r="P20" s="6">
        <v>41231.556226851855</v>
      </c>
      <c r="Q20" s="11"/>
      <c r="R20" s="17" t="s">
        <v>136</v>
      </c>
      <c r="S20" s="11"/>
      <c r="T20" s="11"/>
      <c r="U20" s="10" t="str">
        <f>HYPERLINK("https://pbs.twimg.com/profile_images/1013104870231019524/WAVt62BE.jpg","View")</f>
        <v>View</v>
      </c>
    </row>
    <row r="21" spans="1:21" ht="30.6">
      <c r="A21" s="6">
        <v>43427.271562499998</v>
      </c>
      <c r="B21" s="7" t="str">
        <f>HYPERLINK("https://twitter.com/GalarzaGeovis","@GalarzaGeovis")</f>
        <v>@GalarzaGeovis</v>
      </c>
      <c r="C21" s="8" t="s">
        <v>145</v>
      </c>
      <c r="D21" s="9" t="s">
        <v>146</v>
      </c>
      <c r="E21" s="10" t="str">
        <f>HYPERLINK("https://twitter.com/GalarzaGeovis/status/1065976023135731713","1065976023135731713")</f>
        <v>1065976023135731713</v>
      </c>
      <c r="F21" s="11"/>
      <c r="G21" s="11"/>
      <c r="H21" s="11"/>
      <c r="I21" s="12">
        <v>0</v>
      </c>
      <c r="J21" s="12">
        <v>0</v>
      </c>
      <c r="K21" s="13" t="str">
        <f t="shared" si="2"/>
        <v>Twitter for iPhone</v>
      </c>
      <c r="L21" s="12">
        <v>279</v>
      </c>
      <c r="M21" s="12">
        <v>419</v>
      </c>
      <c r="N21" s="12">
        <v>0</v>
      </c>
      <c r="O21" s="15"/>
      <c r="P21" s="6">
        <v>43290.317974537036</v>
      </c>
      <c r="Q21" s="16" t="s">
        <v>148</v>
      </c>
      <c r="R21" s="17" t="s">
        <v>149</v>
      </c>
      <c r="S21" s="11"/>
      <c r="T21" s="11"/>
      <c r="U21" s="10" t="str">
        <f>HYPERLINK("https://pbs.twimg.com/profile_images/1038500784776851461/RtrSXcx-.jpg","View")</f>
        <v>View</v>
      </c>
    </row>
    <row r="22" spans="1:21" ht="51">
      <c r="A22" s="6">
        <v>43427.271493055552</v>
      </c>
      <c r="B22" s="7" t="str">
        <f>HYPERLINK("https://twitter.com/AdelanteSev","@AdelanteSev")</f>
        <v>@AdelanteSev</v>
      </c>
      <c r="C22" s="8" t="s">
        <v>139</v>
      </c>
      <c r="D22" s="9" t="s">
        <v>140</v>
      </c>
      <c r="E22" s="10" t="str">
        <f>HYPERLINK("https://twitter.com/AdelanteSev/status/1065975997286236160","1065975997286236160")</f>
        <v>1065975997286236160</v>
      </c>
      <c r="F22" s="14" t="s">
        <v>141</v>
      </c>
      <c r="G22" s="11"/>
      <c r="H22" s="11"/>
      <c r="I22" s="12">
        <v>1</v>
      </c>
      <c r="J22" s="12">
        <v>2</v>
      </c>
      <c r="K22" s="13" t="str">
        <f>HYPERLINK("http://twitter.com/download/android","Twitter for Android")</f>
        <v>Twitter for Android</v>
      </c>
      <c r="L22" s="12">
        <v>369</v>
      </c>
      <c r="M22" s="12">
        <v>97</v>
      </c>
      <c r="N22" s="12">
        <v>5</v>
      </c>
      <c r="O22" s="15"/>
      <c r="P22" s="6">
        <v>43357.232997685191</v>
      </c>
      <c r="Q22" s="11"/>
      <c r="R22" s="19"/>
      <c r="S22" s="11"/>
      <c r="T22" s="11"/>
      <c r="U22" s="10" t="str">
        <f>HYPERLINK("https://pbs.twimg.com/profile_images/1041626384194514944/TWuoA0PU.jpg","View")</f>
        <v>View</v>
      </c>
    </row>
    <row r="23" spans="1:21" ht="30.6">
      <c r="A23" s="6">
        <v>43427.271331018521</v>
      </c>
      <c r="B23" s="7" t="str">
        <f>HYPERLINK("https://twitter.com/El_Onubense","@El_Onubense")</f>
        <v>@El_Onubense</v>
      </c>
      <c r="C23" s="8" t="s">
        <v>160</v>
      </c>
      <c r="D23" s="9" t="s">
        <v>161</v>
      </c>
      <c r="E23" s="10" t="str">
        <f>HYPERLINK("https://twitter.com/El_Onubense/status/1065975939119661057","1065975939119661057")</f>
        <v>1065975939119661057</v>
      </c>
      <c r="F23" s="14" t="s">
        <v>162</v>
      </c>
      <c r="G23" s="11"/>
      <c r="H23" s="11"/>
      <c r="I23" s="12">
        <v>0</v>
      </c>
      <c r="J23" s="12">
        <v>0</v>
      </c>
      <c r="K23" s="13" t="str">
        <f>HYPERLINK("http://www.facebook.com/twitter","Facebook")</f>
        <v>Facebook</v>
      </c>
      <c r="L23" s="12">
        <v>1049</v>
      </c>
      <c r="M23" s="12">
        <v>329</v>
      </c>
      <c r="N23" s="12">
        <v>25</v>
      </c>
      <c r="O23" s="15"/>
      <c r="P23" s="6">
        <v>41648.41337962963</v>
      </c>
      <c r="Q23" s="16" t="s">
        <v>165</v>
      </c>
      <c r="R23" s="17" t="s">
        <v>167</v>
      </c>
      <c r="S23" s="11"/>
      <c r="T23" s="11"/>
      <c r="U23" s="10" t="str">
        <f>HYPERLINK("https://pbs.twimg.com/profile_images/1060563341322711040/qj-PL-Hn.jpg","View")</f>
        <v>View</v>
      </c>
    </row>
    <row r="24" spans="1:21" ht="51">
      <c r="A24" s="6">
        <v>43427.270891203705</v>
      </c>
      <c r="B24" s="7" t="str">
        <f>HYPERLINK("https://twitter.com/oikosx","@oikosx")</f>
        <v>@oikosx</v>
      </c>
      <c r="C24" s="8" t="s">
        <v>169</v>
      </c>
      <c r="D24" s="9" t="s">
        <v>170</v>
      </c>
      <c r="E24" s="10" t="str">
        <f>HYPERLINK("https://twitter.com/oikosx/status/1065975779627098112","1065975779627098112")</f>
        <v>1065975779627098112</v>
      </c>
      <c r="F24" s="16" t="s">
        <v>173</v>
      </c>
      <c r="G24" s="14" t="s">
        <v>174</v>
      </c>
      <c r="H24" s="11"/>
      <c r="I24" s="12">
        <v>0</v>
      </c>
      <c r="J24" s="12">
        <v>0</v>
      </c>
      <c r="K24" s="13" t="str">
        <f t="shared" ref="K24:K25" si="3">HYPERLINK("http://twitter.com/download/android","Twitter for Android")</f>
        <v>Twitter for Android</v>
      </c>
      <c r="L24" s="12">
        <v>754</v>
      </c>
      <c r="M24" s="12">
        <v>1014</v>
      </c>
      <c r="N24" s="12">
        <v>26</v>
      </c>
      <c r="O24" s="15"/>
      <c r="P24" s="6">
        <v>40641.446574074071</v>
      </c>
      <c r="Q24" s="16" t="s">
        <v>176</v>
      </c>
      <c r="R24" s="17" t="s">
        <v>177</v>
      </c>
      <c r="S24" s="11"/>
      <c r="T24" s="11"/>
      <c r="U24" s="10" t="str">
        <f>HYPERLINK("https://pbs.twimg.com/profile_images/1054849449720082433/5LAhqUGo.jpg","View")</f>
        <v>View</v>
      </c>
    </row>
    <row r="25" spans="1:21" ht="61.2">
      <c r="A25" s="6">
        <v>43427.270173611112</v>
      </c>
      <c r="B25" s="7" t="str">
        <f>HYPERLINK("https://twitter.com/_A_Zero","@_A_Zero")</f>
        <v>@_A_Zero</v>
      </c>
      <c r="C25" s="8" t="s">
        <v>142</v>
      </c>
      <c r="D25" s="9" t="s">
        <v>143</v>
      </c>
      <c r="E25" s="10" t="str">
        <f>HYPERLINK("https://twitter.com/_A_Zero/status/1065975521194987520","1065975521194987520")</f>
        <v>1065975521194987520</v>
      </c>
      <c r="F25" s="11"/>
      <c r="G25" s="11"/>
      <c r="H25" s="11"/>
      <c r="I25" s="12">
        <v>16</v>
      </c>
      <c r="J25" s="12">
        <v>19</v>
      </c>
      <c r="K25" s="13" t="str">
        <f t="shared" si="3"/>
        <v>Twitter for Android</v>
      </c>
      <c r="L25" s="12">
        <v>2712</v>
      </c>
      <c r="M25" s="12">
        <v>4964</v>
      </c>
      <c r="N25" s="12">
        <v>4</v>
      </c>
      <c r="O25" s="15"/>
      <c r="P25" s="6">
        <v>42905.019884259258</v>
      </c>
      <c r="Q25" s="16" t="s">
        <v>28</v>
      </c>
      <c r="R25" s="17" t="s">
        <v>147</v>
      </c>
      <c r="S25" s="11"/>
      <c r="T25" s="11"/>
      <c r="U25" s="10" t="str">
        <f>HYPERLINK("https://pbs.twimg.com/profile_images/1063889902285275141/AleiP71Z.jpg","View")</f>
        <v>View</v>
      </c>
    </row>
    <row r="26" spans="1:21" ht="20.399999999999999">
      <c r="A26" s="6">
        <v>43427.267372685186</v>
      </c>
      <c r="B26" s="7" t="str">
        <f>HYPERLINK("https://twitter.com/abc_madrid","@abc_madrid")</f>
        <v>@abc_madrid</v>
      </c>
      <c r="C26" s="8" t="s">
        <v>182</v>
      </c>
      <c r="D26" s="9" t="s">
        <v>183</v>
      </c>
      <c r="E26" s="10" t="str">
        <f>HYPERLINK("https://twitter.com/abc_madrid/status/1065974503187144706","1065974503187144706")</f>
        <v>1065974503187144706</v>
      </c>
      <c r="F26" s="14" t="s">
        <v>184</v>
      </c>
      <c r="G26" s="11"/>
      <c r="H26" s="11"/>
      <c r="I26" s="12">
        <v>0</v>
      </c>
      <c r="J26" s="12">
        <v>0</v>
      </c>
      <c r="K26" s="13" t="str">
        <f>HYPERLINK("http://dogtrack.es","DogTrack_Oficial")</f>
        <v>DogTrack_Oficial</v>
      </c>
      <c r="L26" s="12">
        <v>10678</v>
      </c>
      <c r="M26" s="12">
        <v>329</v>
      </c>
      <c r="N26" s="12">
        <v>339</v>
      </c>
      <c r="O26" s="18" t="s">
        <v>52</v>
      </c>
      <c r="P26" s="6">
        <v>41009.403969907406</v>
      </c>
      <c r="Q26" s="11"/>
      <c r="R26" s="17" t="s">
        <v>188</v>
      </c>
      <c r="S26" s="14" t="s">
        <v>189</v>
      </c>
      <c r="T26" s="11"/>
      <c r="U26" s="10" t="str">
        <f>HYPERLINK("https://pbs.twimg.com/profile_images/659711999123828736/5lvxVbVG.png","View")</f>
        <v>View</v>
      </c>
    </row>
    <row r="27" spans="1:21" ht="20.399999999999999">
      <c r="A27" s="6">
        <v>43427.264386574076</v>
      </c>
      <c r="B27" s="7" t="str">
        <f>HYPERLINK("https://twitter.com/davidcifuentesw","@davidcifuentesw")</f>
        <v>@davidcifuentesw</v>
      </c>
      <c r="C27" s="8" t="s">
        <v>150</v>
      </c>
      <c r="D27" s="9" t="s">
        <v>151</v>
      </c>
      <c r="E27" s="10" t="str">
        <f>HYPERLINK("https://twitter.com/davidcifuentesw/status/1065973422910525440","1065973422910525440")</f>
        <v>1065973422910525440</v>
      </c>
      <c r="F27" s="11"/>
      <c r="G27" s="14" t="s">
        <v>152</v>
      </c>
      <c r="H27" s="11"/>
      <c r="I27" s="12">
        <v>0</v>
      </c>
      <c r="J27" s="12">
        <v>0</v>
      </c>
      <c r="K27" s="13" t="str">
        <f>HYPERLINK("http://twitter.com/download/android","Twitter for Android")</f>
        <v>Twitter for Android</v>
      </c>
      <c r="L27" s="12">
        <v>911</v>
      </c>
      <c r="M27" s="12">
        <v>79</v>
      </c>
      <c r="N27" s="12">
        <v>3</v>
      </c>
      <c r="O27" s="15"/>
      <c r="P27" s="6">
        <v>41350.285486111112</v>
      </c>
      <c r="Q27" s="16" t="s">
        <v>153</v>
      </c>
      <c r="R27" s="19"/>
      <c r="S27" s="11"/>
      <c r="T27" s="11"/>
      <c r="U27" s="10" t="str">
        <f>HYPERLINK("https://pbs.twimg.com/profile_images/894865485912821760/DR5RgUO3.jpg","View")</f>
        <v>View</v>
      </c>
    </row>
    <row r="28" spans="1:21" ht="71.400000000000006">
      <c r="A28" s="6">
        <v>43427.263518518521</v>
      </c>
      <c r="B28" s="7" t="str">
        <f>HYPERLINK("https://twitter.com/erlik","@erlik")</f>
        <v>@erlik</v>
      </c>
      <c r="C28" s="8" t="s">
        <v>198</v>
      </c>
      <c r="D28" s="9" t="s">
        <v>199</v>
      </c>
      <c r="E28" s="10" t="str">
        <f>HYPERLINK("https://twitter.com/erlik/status/1065973107746398208","1065973107746398208")</f>
        <v>1065973107746398208</v>
      </c>
      <c r="F28" s="16" t="s">
        <v>200</v>
      </c>
      <c r="G28" s="11"/>
      <c r="H28" s="11"/>
      <c r="I28" s="12">
        <v>14</v>
      </c>
      <c r="J28" s="12">
        <v>13</v>
      </c>
      <c r="K28" s="13" t="str">
        <f>HYPERLINK("http://twitter.com/download/iphone","Twitter for iPhone")</f>
        <v>Twitter for iPhone</v>
      </c>
      <c r="L28" s="12">
        <v>3966</v>
      </c>
      <c r="M28" s="12">
        <v>831</v>
      </c>
      <c r="N28" s="12">
        <v>102</v>
      </c>
      <c r="O28" s="15"/>
      <c r="P28" s="6">
        <v>39914.441736111112</v>
      </c>
      <c r="Q28" s="16" t="s">
        <v>203</v>
      </c>
      <c r="R28" s="17" t="s">
        <v>204</v>
      </c>
      <c r="S28" s="14" t="s">
        <v>205</v>
      </c>
      <c r="T28" s="11"/>
      <c r="U28" s="10" t="str">
        <f>HYPERLINK("https://pbs.twimg.com/profile_images/995689148039213057/y3x7hpI2.jpg","View")</f>
        <v>View</v>
      </c>
    </row>
    <row r="29" spans="1:21" ht="30.6">
      <c r="A29" s="6">
        <v>43427.262800925921</v>
      </c>
      <c r="B29" s="7" t="str">
        <f>HYPERLINK("https://twitter.com/vayanata","@vayanata")</f>
        <v>@vayanata</v>
      </c>
      <c r="C29" s="8" t="s">
        <v>208</v>
      </c>
      <c r="D29" s="9" t="s">
        <v>209</v>
      </c>
      <c r="E29" s="10" t="str">
        <f>HYPERLINK("https://twitter.com/vayanata/status/1065972848286728193","1065972848286728193")</f>
        <v>1065972848286728193</v>
      </c>
      <c r="F29" s="11"/>
      <c r="G29" s="11"/>
      <c r="H29" s="11"/>
      <c r="I29" s="12">
        <v>16</v>
      </c>
      <c r="J29" s="12">
        <v>41</v>
      </c>
      <c r="K29" s="13" t="str">
        <f t="shared" ref="K29:K30" si="4">HYPERLINK("http://twitter.com/download/android","Twitter for Android")</f>
        <v>Twitter for Android</v>
      </c>
      <c r="L29" s="12">
        <v>19892</v>
      </c>
      <c r="M29" s="12">
        <v>6775</v>
      </c>
      <c r="N29" s="12">
        <v>85</v>
      </c>
      <c r="O29" s="15"/>
      <c r="P29" s="6">
        <v>42259.35219907407</v>
      </c>
      <c r="Q29" s="16" t="s">
        <v>214</v>
      </c>
      <c r="R29" s="17" t="s">
        <v>215</v>
      </c>
      <c r="S29" s="11"/>
      <c r="T29" s="11"/>
      <c r="U29" s="10" t="str">
        <f>HYPERLINK("https://pbs.twimg.com/profile_images/659707542252199936/d_lRFlD3.jpg","View")</f>
        <v>View</v>
      </c>
    </row>
    <row r="30" spans="1:21" ht="40.799999999999997">
      <c r="A30" s="6">
        <v>43427.26189814815</v>
      </c>
      <c r="B30" s="7" t="str">
        <f>HYPERLINK("https://twitter.com/Opinadeur","@Opinadeur")</f>
        <v>@Opinadeur</v>
      </c>
      <c r="C30" s="8" t="s">
        <v>218</v>
      </c>
      <c r="D30" s="9" t="s">
        <v>219</v>
      </c>
      <c r="E30" s="10" t="str">
        <f>HYPERLINK("https://twitter.com/Opinadeur/status/1065972522016022529","1065972522016022529")</f>
        <v>1065972522016022529</v>
      </c>
      <c r="F30" s="11"/>
      <c r="G30" s="11"/>
      <c r="H30" s="11"/>
      <c r="I30" s="12">
        <v>0</v>
      </c>
      <c r="J30" s="12">
        <v>0</v>
      </c>
      <c r="K30" s="13" t="str">
        <f t="shared" si="4"/>
        <v>Twitter for Android</v>
      </c>
      <c r="L30" s="12">
        <v>11</v>
      </c>
      <c r="M30" s="12">
        <v>73</v>
      </c>
      <c r="N30" s="12">
        <v>0</v>
      </c>
      <c r="O30" s="15"/>
      <c r="P30" s="6">
        <v>43057.35328703704</v>
      </c>
      <c r="Q30" s="16" t="s">
        <v>222</v>
      </c>
      <c r="R30" s="17" t="s">
        <v>223</v>
      </c>
      <c r="S30" s="11"/>
      <c r="T30" s="11"/>
      <c r="U30" s="10" t="str">
        <f>HYPERLINK("https://pbs.twimg.com/profile_images/1036331737268342787/ZBPcm3Iv.jpg","View")</f>
        <v>View</v>
      </c>
    </row>
    <row r="31" spans="1:21" ht="30.6">
      <c r="A31" s="6">
        <v>43427.261770833335</v>
      </c>
      <c r="B31" s="7" t="str">
        <f>HYPERLINK("https://twitter.com/rodrigoslay","@rodrigoslay")</f>
        <v>@rodrigoslay</v>
      </c>
      <c r="C31" s="8" t="s">
        <v>225</v>
      </c>
      <c r="D31" s="9" t="s">
        <v>226</v>
      </c>
      <c r="E31" s="10" t="str">
        <f>HYPERLINK("https://twitter.com/rodrigoslay/status/1065972476339982336","1065972476339982336")</f>
        <v>1065972476339982336</v>
      </c>
      <c r="F31" s="14" t="s">
        <v>228</v>
      </c>
      <c r="G31" s="11"/>
      <c r="H31" s="11"/>
      <c r="I31" s="12">
        <v>0</v>
      </c>
      <c r="J31" s="12">
        <v>0</v>
      </c>
      <c r="K31" s="13" t="str">
        <f>HYPERLINK("http://www.facebook.com/twitter","Facebook")</f>
        <v>Facebook</v>
      </c>
      <c r="L31" s="12">
        <v>2166</v>
      </c>
      <c r="M31" s="12">
        <v>2365</v>
      </c>
      <c r="N31" s="12">
        <v>53</v>
      </c>
      <c r="O31" s="15"/>
      <c r="P31" s="6">
        <v>39671.599479166667</v>
      </c>
      <c r="Q31" s="16" t="s">
        <v>231</v>
      </c>
      <c r="R31" s="17" t="s">
        <v>232</v>
      </c>
      <c r="S31" s="14" t="s">
        <v>233</v>
      </c>
      <c r="T31" s="11"/>
      <c r="U31" s="10" t="str">
        <f>HYPERLINK("https://pbs.twimg.com/profile_images/560623998984134656/36G8dUlo.jpeg","View")</f>
        <v>View</v>
      </c>
    </row>
    <row r="32" spans="1:21" ht="40.799999999999997">
      <c r="A32" s="6">
        <v>43427.261736111112</v>
      </c>
      <c r="B32" s="7" t="str">
        <f>HYPERLINK("https://twitter.com/slaymultimedios","@slaymultimedios")</f>
        <v>@slaymultimedios</v>
      </c>
      <c r="C32" s="8" t="s">
        <v>236</v>
      </c>
      <c r="D32" s="9" t="s">
        <v>237</v>
      </c>
      <c r="E32" s="10" t="str">
        <f>HYPERLINK("https://twitter.com/slaymultimedios/status/1065972463123816448","1065972463123816448")</f>
        <v>1065972463123816448</v>
      </c>
      <c r="F32" s="14" t="s">
        <v>240</v>
      </c>
      <c r="G32" s="11"/>
      <c r="H32" s="11"/>
      <c r="I32" s="12">
        <v>0</v>
      </c>
      <c r="J32" s="12">
        <v>0</v>
      </c>
      <c r="K32" s="13" t="str">
        <f>HYPERLINK("http://www.slaymultimedios.com","WebSiteSlayMultimedios")</f>
        <v>WebSiteSlayMultimedios</v>
      </c>
      <c r="L32" s="12">
        <v>41749</v>
      </c>
      <c r="M32" s="12">
        <v>178</v>
      </c>
      <c r="N32" s="12">
        <v>410</v>
      </c>
      <c r="O32" s="15"/>
      <c r="P32" s="6">
        <v>40209.55605324074</v>
      </c>
      <c r="Q32" s="16" t="s">
        <v>241</v>
      </c>
      <c r="R32" s="17" t="s">
        <v>242</v>
      </c>
      <c r="S32" s="14" t="s">
        <v>233</v>
      </c>
      <c r="T32" s="11"/>
      <c r="U32" s="10" t="str">
        <f>HYPERLINK("https://pbs.twimg.com/profile_images/714690465916817408/1NXaiuED.jpg","View")</f>
        <v>View</v>
      </c>
    </row>
    <row r="33" spans="1:21" ht="81.599999999999994">
      <c r="A33" s="6">
        <v>43427.261435185181</v>
      </c>
      <c r="B33" s="7" t="str">
        <f>HYPERLINK("https://twitter.com/EPrecoz","@EPrecoz")</f>
        <v>@EPrecoz</v>
      </c>
      <c r="C33" s="8" t="s">
        <v>154</v>
      </c>
      <c r="D33" s="9" t="s">
        <v>155</v>
      </c>
      <c r="E33" s="10" t="str">
        <f>HYPERLINK("https://twitter.com/EPrecoz/status/1065972353035849733","1065972353035849733")</f>
        <v>1065972353035849733</v>
      </c>
      <c r="F33" s="16" t="s">
        <v>156</v>
      </c>
      <c r="G33" s="14" t="s">
        <v>157</v>
      </c>
      <c r="H33" s="11"/>
      <c r="I33" s="12">
        <v>0</v>
      </c>
      <c r="J33" s="12">
        <v>0</v>
      </c>
      <c r="K33" s="13" t="str">
        <f t="shared" ref="K33:K34" si="5">HYPERLINK("http://twitter.com","Twitter Web Client")</f>
        <v>Twitter Web Client</v>
      </c>
      <c r="L33" s="12">
        <v>18437</v>
      </c>
      <c r="M33" s="12">
        <v>79</v>
      </c>
      <c r="N33" s="12">
        <v>121</v>
      </c>
      <c r="O33" s="15"/>
      <c r="P33" s="6">
        <v>40454.758263888885</v>
      </c>
      <c r="Q33" s="16" t="s">
        <v>158</v>
      </c>
      <c r="R33" s="17" t="s">
        <v>159</v>
      </c>
      <c r="S33" s="11"/>
      <c r="T33" s="11"/>
      <c r="U33" s="10" t="str">
        <f>HYPERLINK("https://pbs.twimg.com/profile_images/1136937475/ESPE.jpg","View")</f>
        <v>View</v>
      </c>
    </row>
    <row r="34" spans="1:21" ht="30.6">
      <c r="A34" s="6">
        <v>43427.260868055557</v>
      </c>
      <c r="B34" s="7" t="str">
        <f>HYPERLINK("https://twitter.com/NoPotemosNo","@NoPotemosNo")</f>
        <v>@NoPotemosNo</v>
      </c>
      <c r="C34" s="8" t="s">
        <v>253</v>
      </c>
      <c r="D34" s="9" t="s">
        <v>254</v>
      </c>
      <c r="E34" s="10" t="str">
        <f>HYPERLINK("https://twitter.com/NoPotemosNo/status/1065972148358008833","1065972148358008833")</f>
        <v>1065972148358008833</v>
      </c>
      <c r="F34" s="14" t="s">
        <v>255</v>
      </c>
      <c r="G34" s="11"/>
      <c r="H34" s="11"/>
      <c r="I34" s="12">
        <v>0</v>
      </c>
      <c r="J34" s="12">
        <v>1</v>
      </c>
      <c r="K34" s="13" t="str">
        <f t="shared" si="5"/>
        <v>Twitter Web Client</v>
      </c>
      <c r="L34" s="12">
        <v>148</v>
      </c>
      <c r="M34" s="12">
        <v>12</v>
      </c>
      <c r="N34" s="12">
        <v>3</v>
      </c>
      <c r="O34" s="15"/>
      <c r="P34" s="6">
        <v>42853.140023148153</v>
      </c>
      <c r="Q34" s="11"/>
      <c r="R34" s="17" t="s">
        <v>259</v>
      </c>
      <c r="S34" s="11"/>
      <c r="T34" s="11"/>
      <c r="U34" s="10" t="str">
        <f>HYPERLINK("https://pbs.twimg.com/profile_images/857908903694262272/tXMyaWAJ.jpg","View")</f>
        <v>View</v>
      </c>
    </row>
    <row r="35" spans="1:21" ht="30.6">
      <c r="A35" s="6">
        <v>43427.259710648148</v>
      </c>
      <c r="B35" s="7" t="str">
        <f>HYPERLINK("https://twitter.com/fidelegibus","@fidelegibus")</f>
        <v>@fidelegibus</v>
      </c>
      <c r="C35" s="8" t="s">
        <v>262</v>
      </c>
      <c r="D35" s="9" t="s">
        <v>263</v>
      </c>
      <c r="E35" s="10" t="str">
        <f>HYPERLINK("https://twitter.com/fidelegibus/status/1065971727484760065","1065971727484760065")</f>
        <v>1065971727484760065</v>
      </c>
      <c r="F35" s="11"/>
      <c r="G35" s="14" t="s">
        <v>264</v>
      </c>
      <c r="H35" s="11"/>
      <c r="I35" s="12">
        <v>1</v>
      </c>
      <c r="J35" s="12">
        <v>0</v>
      </c>
      <c r="K35" s="13" t="str">
        <f>HYPERLINK("http://twitter.com/download/android","Twitter for Android")</f>
        <v>Twitter for Android</v>
      </c>
      <c r="L35" s="12">
        <v>5081</v>
      </c>
      <c r="M35" s="12">
        <v>3406</v>
      </c>
      <c r="N35" s="12">
        <v>39</v>
      </c>
      <c r="O35" s="15"/>
      <c r="P35" s="6">
        <v>40437.681759259256</v>
      </c>
      <c r="Q35" s="16" t="s">
        <v>268</v>
      </c>
      <c r="R35" s="17" t="s">
        <v>269</v>
      </c>
      <c r="S35" s="11"/>
      <c r="T35" s="11"/>
      <c r="U35" s="10" t="str">
        <f>HYPERLINK("https://pbs.twimg.com/profile_images/1031658862053666817/1FVeGc89.jpg","View")</f>
        <v>View</v>
      </c>
    </row>
    <row r="36" spans="1:21" ht="51">
      <c r="A36" s="6">
        <v>43427.258888888886</v>
      </c>
      <c r="B36" s="7" t="str">
        <f>HYPERLINK("https://twitter.com/jgpast","@jgpast")</f>
        <v>@jgpast</v>
      </c>
      <c r="C36" s="8" t="s">
        <v>272</v>
      </c>
      <c r="D36" s="9" t="s">
        <v>274</v>
      </c>
      <c r="E36" s="10" t="str">
        <f>HYPERLINK("https://twitter.com/jgpast/status/1065971429538234369","1065971429538234369")</f>
        <v>1065971429538234369</v>
      </c>
      <c r="F36" s="11"/>
      <c r="G36" s="11"/>
      <c r="H36" s="11"/>
      <c r="I36" s="12">
        <v>0</v>
      </c>
      <c r="J36" s="12">
        <v>1</v>
      </c>
      <c r="K36" s="13" t="str">
        <f>HYPERLINK("https://mobile.twitter.com","Twitter Lite")</f>
        <v>Twitter Lite</v>
      </c>
      <c r="L36" s="12">
        <v>1308</v>
      </c>
      <c r="M36" s="12">
        <v>1302</v>
      </c>
      <c r="N36" s="12">
        <v>34</v>
      </c>
      <c r="O36" s="15"/>
      <c r="P36" s="6">
        <v>40854.687557870369</v>
      </c>
      <c r="Q36" s="16" t="s">
        <v>278</v>
      </c>
      <c r="R36" s="17" t="s">
        <v>279</v>
      </c>
      <c r="S36" s="11"/>
      <c r="T36" s="11"/>
      <c r="U36" s="10" t="str">
        <f>HYPERLINK("https://pbs.twimg.com/profile_images/1050981230240522240/rqYPwIUZ.jpg","View")</f>
        <v>View</v>
      </c>
    </row>
    <row r="37" spans="1:21" ht="40.799999999999997">
      <c r="A37" s="6">
        <v>43427.256377314814</v>
      </c>
      <c r="B37" s="7" t="str">
        <f>HYPERLINK("https://twitter.com/_23Sergio","@_23Sergio")</f>
        <v>@_23Sergio</v>
      </c>
      <c r="C37" s="8" t="s">
        <v>283</v>
      </c>
      <c r="D37" s="9" t="s">
        <v>285</v>
      </c>
      <c r="E37" s="10" t="str">
        <f>HYPERLINK("https://twitter.com/_23Sergio/status/1065970520909406208","1065970520909406208")</f>
        <v>1065970520909406208</v>
      </c>
      <c r="F37" s="11"/>
      <c r="G37" s="11"/>
      <c r="H37" s="11"/>
      <c r="I37" s="12">
        <v>0</v>
      </c>
      <c r="J37" s="12">
        <v>1</v>
      </c>
      <c r="K37" s="13" t="str">
        <f>HYPERLINK("http://twitter.com/download/android","Twitter for Android")</f>
        <v>Twitter for Android</v>
      </c>
      <c r="L37" s="12">
        <v>1051</v>
      </c>
      <c r="M37" s="12">
        <v>1094</v>
      </c>
      <c r="N37" s="12">
        <v>12</v>
      </c>
      <c r="O37" s="15"/>
      <c r="P37" s="6">
        <v>40503.406458333331</v>
      </c>
      <c r="Q37" s="16" t="s">
        <v>290</v>
      </c>
      <c r="R37" s="17" t="s">
        <v>291</v>
      </c>
      <c r="S37" s="11"/>
      <c r="T37" s="11"/>
      <c r="U37" s="10" t="str">
        <f>HYPERLINK("https://pbs.twimg.com/profile_images/959348744822157312/wUGKBFb3.jpg","View")</f>
        <v>View</v>
      </c>
    </row>
    <row r="38" spans="1:21" ht="30.6">
      <c r="A38" s="6">
        <v>43427.255902777775</v>
      </c>
      <c r="B38" s="7" t="str">
        <f>HYPERLINK("https://twitter.com/josemssantos","@josemssantos")</f>
        <v>@josemssantos</v>
      </c>
      <c r="C38" s="8" t="s">
        <v>296</v>
      </c>
      <c r="D38" s="9" t="s">
        <v>297</v>
      </c>
      <c r="E38" s="10" t="str">
        <f>HYPERLINK("https://twitter.com/josemssantos/status/1065970350142513153","1065970350142513153")</f>
        <v>1065970350142513153</v>
      </c>
      <c r="F38" s="14" t="s">
        <v>299</v>
      </c>
      <c r="G38" s="14" t="s">
        <v>300</v>
      </c>
      <c r="H38" s="11"/>
      <c r="I38" s="12">
        <v>1</v>
      </c>
      <c r="J38" s="12">
        <v>0</v>
      </c>
      <c r="K38" s="13" t="str">
        <f>HYPERLINK("http://twitter.com","Twitter Web Client")</f>
        <v>Twitter Web Client</v>
      </c>
      <c r="L38" s="12">
        <v>1751</v>
      </c>
      <c r="M38" s="12">
        <v>1298</v>
      </c>
      <c r="N38" s="12">
        <v>48</v>
      </c>
      <c r="O38" s="15"/>
      <c r="P38" s="6">
        <v>39699.636192129634</v>
      </c>
      <c r="Q38" s="16" t="s">
        <v>303</v>
      </c>
      <c r="R38" s="20" t="s">
        <v>304</v>
      </c>
      <c r="S38" s="14" t="s">
        <v>309</v>
      </c>
      <c r="T38" s="11"/>
      <c r="U38" s="10" t="str">
        <f>HYPERLINK("https://pbs.twimg.com/profile_images/912371117389746176/-y7ccEM9.jpg","View")</f>
        <v>View</v>
      </c>
    </row>
    <row r="39" spans="1:21" ht="102">
      <c r="A39" s="6">
        <v>43427.254837962959</v>
      </c>
      <c r="B39" s="7" t="str">
        <f>HYPERLINK("https://twitter.com/sepaesbi","@sepaesbi")</f>
        <v>@sepaesbi</v>
      </c>
      <c r="C39" s="8" t="s">
        <v>163</v>
      </c>
      <c r="D39" s="9" t="s">
        <v>164</v>
      </c>
      <c r="E39" s="10" t="str">
        <f>HYPERLINK("https://twitter.com/sepaesbi/status/1065969964497215490","1065969964497215490")</f>
        <v>1065969964497215490</v>
      </c>
      <c r="F39" s="16" t="s">
        <v>166</v>
      </c>
      <c r="G39" s="11"/>
      <c r="H39" s="11"/>
      <c r="I39" s="12">
        <v>0</v>
      </c>
      <c r="J39" s="12">
        <v>1</v>
      </c>
      <c r="K39" s="13" t="str">
        <f>HYPERLINK("https://mobile.twitter.com","Twitter Lite")</f>
        <v>Twitter Lite</v>
      </c>
      <c r="L39" s="12">
        <v>57</v>
      </c>
      <c r="M39" s="12">
        <v>248</v>
      </c>
      <c r="N39" s="12">
        <v>1</v>
      </c>
      <c r="O39" s="15"/>
      <c r="P39" s="6">
        <v>41724.388206018521</v>
      </c>
      <c r="Q39" s="11"/>
      <c r="R39" s="19"/>
      <c r="S39" s="11"/>
      <c r="T39" s="11"/>
      <c r="U39" s="18" t="s">
        <v>168</v>
      </c>
    </row>
    <row r="40" spans="1:21" ht="20.399999999999999">
      <c r="A40" s="6">
        <v>43427.254826388889</v>
      </c>
      <c r="B40" s="7" t="str">
        <f>HYPERLINK("https://twitter.com/VictoriAndres1","@VictoriAndres1")</f>
        <v>@VictoriAndres1</v>
      </c>
      <c r="C40" s="8" t="s">
        <v>33</v>
      </c>
      <c r="D40" s="9" t="s">
        <v>34</v>
      </c>
      <c r="E40" s="10" t="str">
        <f>HYPERLINK("https://twitter.com/VictoriAndres1/status/1065969958209806336","1065969958209806336")</f>
        <v>1065969958209806336</v>
      </c>
      <c r="F40" s="14" t="s">
        <v>315</v>
      </c>
      <c r="G40" s="11"/>
      <c r="H40" s="11"/>
      <c r="I40" s="12">
        <v>1</v>
      </c>
      <c r="J40" s="12">
        <v>0</v>
      </c>
      <c r="K40" s="13" t="str">
        <f>HYPERLINK("http://www.facebook.com/twitter","Facebook")</f>
        <v>Facebook</v>
      </c>
      <c r="L40" s="12">
        <v>196</v>
      </c>
      <c r="M40" s="12">
        <v>292</v>
      </c>
      <c r="N40" s="12">
        <v>1</v>
      </c>
      <c r="O40" s="15"/>
      <c r="P40" s="6">
        <v>40992.087916666671</v>
      </c>
      <c r="Q40" s="16" t="s">
        <v>38</v>
      </c>
      <c r="R40" s="17" t="s">
        <v>40</v>
      </c>
      <c r="S40" s="14" t="s">
        <v>41</v>
      </c>
      <c r="T40" s="11"/>
      <c r="U40" s="10" t="str">
        <f>HYPERLINK("https://pbs.twimg.com/profile_images/1018850373476454400/___hRpp7.jpg","View")</f>
        <v>View</v>
      </c>
    </row>
    <row r="41" spans="1:21" ht="51">
      <c r="A41" s="6">
        <v>43427.254432870366</v>
      </c>
      <c r="B41" s="7" t="str">
        <f>HYPERLINK("https://twitter.com/SitaCarapappel","@SitaCarapappel")</f>
        <v>@SitaCarapappel</v>
      </c>
      <c r="C41" s="8" t="s">
        <v>323</v>
      </c>
      <c r="D41" s="9" t="s">
        <v>324</v>
      </c>
      <c r="E41" s="10" t="str">
        <f>HYPERLINK("https://twitter.com/SitaCarapappel/status/1065969816996057088","1065969816996057088")</f>
        <v>1065969816996057088</v>
      </c>
      <c r="F41" s="16" t="s">
        <v>325</v>
      </c>
      <c r="G41" s="14" t="s">
        <v>326</v>
      </c>
      <c r="H41" s="11"/>
      <c r="I41" s="12">
        <v>0</v>
      </c>
      <c r="J41" s="12">
        <v>0</v>
      </c>
      <c r="K41" s="13" t="str">
        <f t="shared" ref="K41:K42" si="6">HYPERLINK("http://twitter.com/download/android","Twitter for Android")</f>
        <v>Twitter for Android</v>
      </c>
      <c r="L41" s="12">
        <v>433</v>
      </c>
      <c r="M41" s="12">
        <v>710</v>
      </c>
      <c r="N41" s="12">
        <v>1</v>
      </c>
      <c r="O41" s="15"/>
      <c r="P41" s="6">
        <v>40941.376493055555</v>
      </c>
      <c r="Q41" s="16" t="s">
        <v>329</v>
      </c>
      <c r="R41" s="17" t="s">
        <v>330</v>
      </c>
      <c r="S41" s="11"/>
      <c r="T41" s="11"/>
      <c r="U41" s="10" t="str">
        <f>HYPERLINK("https://pbs.twimg.com/profile_images/1002311549887877124/omAo3uKJ.jpg","View")</f>
        <v>View</v>
      </c>
    </row>
    <row r="42" spans="1:21" ht="61.2">
      <c r="A42" s="6">
        <v>43427.251666666663</v>
      </c>
      <c r="B42" s="7" t="str">
        <f>HYPERLINK("https://twitter.com/ccoo_sarga","@ccoo_sarga")</f>
        <v>@ccoo_sarga</v>
      </c>
      <c r="C42" s="8" t="s">
        <v>171</v>
      </c>
      <c r="D42" s="9" t="s">
        <v>172</v>
      </c>
      <c r="E42" s="10" t="str">
        <f>HYPERLINK("https://twitter.com/ccoo_sarga/status/1065968813223682050","1065968813223682050")</f>
        <v>1065968813223682050</v>
      </c>
      <c r="F42" s="11"/>
      <c r="G42" s="14" t="s">
        <v>175</v>
      </c>
      <c r="H42" s="11"/>
      <c r="I42" s="12">
        <v>2</v>
      </c>
      <c r="J42" s="12">
        <v>2</v>
      </c>
      <c r="K42" s="13" t="str">
        <f t="shared" si="6"/>
        <v>Twitter for Android</v>
      </c>
      <c r="L42" s="12">
        <v>183</v>
      </c>
      <c r="M42" s="12">
        <v>430</v>
      </c>
      <c r="N42" s="12">
        <v>1</v>
      </c>
      <c r="O42" s="15"/>
      <c r="P42" s="6">
        <v>42820.997210648144</v>
      </c>
      <c r="Q42" s="11"/>
      <c r="R42" s="19"/>
      <c r="S42" s="11"/>
      <c r="T42" s="11"/>
      <c r="U42" s="10" t="str">
        <f>HYPERLINK("https://pbs.twimg.com/profile_images/1053635045016199168/2zrpc6BL.jpg","View")</f>
        <v>View</v>
      </c>
    </row>
    <row r="43" spans="1:21" ht="30.6">
      <c r="A43" s="6">
        <v>43427.249664351853</v>
      </c>
      <c r="B43" s="7" t="str">
        <f>HYPERLINK("https://twitter.com/RadarCojedes","@RadarCojedes")</f>
        <v>@RadarCojedes</v>
      </c>
      <c r="C43" s="8" t="s">
        <v>336</v>
      </c>
      <c r="D43" s="9" t="s">
        <v>111</v>
      </c>
      <c r="E43" s="10" t="str">
        <f>HYPERLINK("https://twitter.com/RadarCojedes/status/1065968087021903874","1065968087021903874")</f>
        <v>1065968087021903874</v>
      </c>
      <c r="F43" s="14" t="s">
        <v>337</v>
      </c>
      <c r="G43" s="11"/>
      <c r="H43" s="11"/>
      <c r="I43" s="12">
        <v>0</v>
      </c>
      <c r="J43" s="12">
        <v>0</v>
      </c>
      <c r="K43" s="13" t="str">
        <f>HYPERLINK("https://ifttt.com","IFTTT")</f>
        <v>IFTTT</v>
      </c>
      <c r="L43" s="12">
        <v>181</v>
      </c>
      <c r="M43" s="12">
        <v>154</v>
      </c>
      <c r="N43" s="12">
        <v>0</v>
      </c>
      <c r="O43" s="15"/>
      <c r="P43" s="6">
        <v>42813.842083333337</v>
      </c>
      <c r="Q43" s="11"/>
      <c r="R43" s="17" t="s">
        <v>338</v>
      </c>
      <c r="S43" s="11"/>
      <c r="T43" s="11"/>
      <c r="U43" s="10" t="str">
        <f>HYPERLINK("https://pbs.twimg.com/profile_images/1033939139476041728/47ycC3eo.jpg","View")</f>
        <v>View</v>
      </c>
    </row>
    <row r="44" spans="1:21" ht="61.2">
      <c r="A44" s="6">
        <v>43427.249293981484</v>
      </c>
      <c r="B44" s="7" t="str">
        <f>HYPERLINK("https://twitter.com/Toni_Clares","@Toni_Clares")</f>
        <v>@Toni_Clares</v>
      </c>
      <c r="C44" s="8" t="s">
        <v>178</v>
      </c>
      <c r="D44" s="9" t="s">
        <v>179</v>
      </c>
      <c r="E44" s="10" t="str">
        <f>HYPERLINK("https://twitter.com/Toni_Clares/status/1065967951625576448","1065967951625576448")</f>
        <v>1065967951625576448</v>
      </c>
      <c r="F44" s="11"/>
      <c r="G44" s="11"/>
      <c r="H44" s="11"/>
      <c r="I44" s="12">
        <v>1</v>
      </c>
      <c r="J44" s="12">
        <v>1</v>
      </c>
      <c r="K44" s="13" t="str">
        <f>HYPERLINK("http://twitter.com/download/android","Twitter for Android")</f>
        <v>Twitter for Android</v>
      </c>
      <c r="L44" s="12">
        <v>1516</v>
      </c>
      <c r="M44" s="12">
        <v>1198</v>
      </c>
      <c r="N44" s="12">
        <v>55</v>
      </c>
      <c r="O44" s="15"/>
      <c r="P44" s="6">
        <v>40024.434074074074</v>
      </c>
      <c r="Q44" s="16" t="s">
        <v>180</v>
      </c>
      <c r="R44" s="17" t="s">
        <v>181</v>
      </c>
      <c r="S44" s="11"/>
      <c r="T44" s="11"/>
      <c r="U44" s="10" t="str">
        <f>HYPERLINK("https://pbs.twimg.com/profile_images/1017895537960521729/DvAk2yJA.jpg","View")</f>
        <v>View</v>
      </c>
    </row>
    <row r="45" spans="1:21" ht="30.6">
      <c r="A45" s="6">
        <v>43427.247870370367</v>
      </c>
      <c r="B45" s="7" t="str">
        <f>HYPERLINK("https://twitter.com/RadarApure","@RadarApure")</f>
        <v>@RadarApure</v>
      </c>
      <c r="C45" s="8" t="s">
        <v>346</v>
      </c>
      <c r="D45" s="9" t="s">
        <v>111</v>
      </c>
      <c r="E45" s="10" t="str">
        <f>HYPERLINK("https://twitter.com/RadarApure/status/1065967437991084032","1065967437991084032")</f>
        <v>1065967437991084032</v>
      </c>
      <c r="F45" s="14" t="s">
        <v>337</v>
      </c>
      <c r="G45" s="11"/>
      <c r="H45" s="11"/>
      <c r="I45" s="12">
        <v>0</v>
      </c>
      <c r="J45" s="12">
        <v>0</v>
      </c>
      <c r="K45" s="13" t="str">
        <f>HYPERLINK("https://ifttt.com","IFTTT")</f>
        <v>IFTTT</v>
      </c>
      <c r="L45" s="12">
        <v>214</v>
      </c>
      <c r="M45" s="12">
        <v>187</v>
      </c>
      <c r="N45" s="12">
        <v>0</v>
      </c>
      <c r="O45" s="15"/>
      <c r="P45" s="6">
        <v>42813.863263888888</v>
      </c>
      <c r="Q45" s="16" t="s">
        <v>348</v>
      </c>
      <c r="R45" s="17" t="s">
        <v>350</v>
      </c>
      <c r="S45" s="11"/>
      <c r="T45" s="11"/>
      <c r="U45" s="10" t="str">
        <f>HYPERLINK("https://pbs.twimg.com/profile_images/1033946880860991488/DSNgEsbe.jpg","View")</f>
        <v>View</v>
      </c>
    </row>
    <row r="46" spans="1:21" ht="40.799999999999997">
      <c r="A46" s="6">
        <v>43427.247800925921</v>
      </c>
      <c r="B46" s="7" t="str">
        <f>HYPERLINK("https://twitter.com/PdmIllesBalears","@PdmIllesBalears")</f>
        <v>@PdmIllesBalears</v>
      </c>
      <c r="C46" s="8" t="s">
        <v>185</v>
      </c>
      <c r="D46" s="9" t="s">
        <v>186</v>
      </c>
      <c r="E46" s="10" t="str">
        <f>HYPERLINK("https://twitter.com/PdmIllesBalears/status/1065967413043318784","1065967413043318784")</f>
        <v>1065967413043318784</v>
      </c>
      <c r="F46" s="11"/>
      <c r="G46" s="14" t="s">
        <v>187</v>
      </c>
      <c r="H46" s="11"/>
      <c r="I46" s="12">
        <v>3</v>
      </c>
      <c r="J46" s="12">
        <v>6</v>
      </c>
      <c r="K46" s="13" t="str">
        <f>HYPERLINK("http://twitter.com","Twitter Web Client")</f>
        <v>Twitter Web Client</v>
      </c>
      <c r="L46" s="12">
        <v>5551</v>
      </c>
      <c r="M46" s="12">
        <v>4205</v>
      </c>
      <c r="N46" s="12">
        <v>104</v>
      </c>
      <c r="O46" s="18" t="s">
        <v>52</v>
      </c>
      <c r="P46" s="6">
        <v>42018.447488425925</v>
      </c>
      <c r="Q46" s="16" t="s">
        <v>190</v>
      </c>
      <c r="R46" s="17" t="s">
        <v>191</v>
      </c>
      <c r="S46" s="14" t="s">
        <v>192</v>
      </c>
      <c r="T46" s="11"/>
      <c r="U46" s="10" t="str">
        <f>HYPERLINK("https://pbs.twimg.com/profile_images/1022888679549886466/o7fj6MbP.jpg","View")</f>
        <v>View</v>
      </c>
    </row>
    <row r="47" spans="1:21" ht="40.799999999999997">
      <c r="A47" s="6">
        <v>43427.246736111112</v>
      </c>
      <c r="B47" s="7" t="str">
        <f>HYPERLINK("https://twitter.com/PCamorrista","@PCamorrista")</f>
        <v>@PCamorrista</v>
      </c>
      <c r="C47" s="8" t="s">
        <v>193</v>
      </c>
      <c r="D47" s="9" t="s">
        <v>194</v>
      </c>
      <c r="E47" s="10" t="str">
        <f>HYPERLINK("https://twitter.com/PCamorrista/status/1065967028132036608","1065967028132036608")</f>
        <v>1065967028132036608</v>
      </c>
      <c r="F47" s="11"/>
      <c r="G47" s="14" t="s">
        <v>195</v>
      </c>
      <c r="H47" s="11"/>
      <c r="I47" s="12">
        <v>23</v>
      </c>
      <c r="J47" s="12">
        <v>18</v>
      </c>
      <c r="K47" s="13" t="str">
        <f>HYPERLINK("http://twitter.com/download/iphone","Twitter for iPhone")</f>
        <v>Twitter for iPhone</v>
      </c>
      <c r="L47" s="12">
        <v>1956</v>
      </c>
      <c r="M47" s="12">
        <v>1977</v>
      </c>
      <c r="N47" s="12">
        <v>10</v>
      </c>
      <c r="O47" s="15"/>
      <c r="P47" s="6">
        <v>43114.009884259256</v>
      </c>
      <c r="Q47" s="16" t="s">
        <v>28</v>
      </c>
      <c r="R47" s="17" t="s">
        <v>196</v>
      </c>
      <c r="S47" s="14" t="s">
        <v>197</v>
      </c>
      <c r="T47" s="11"/>
      <c r="U47" s="10" t="str">
        <f>HYPERLINK("https://pbs.twimg.com/profile_images/952459031083397120/u6DBThkF.jpg","View")</f>
        <v>View</v>
      </c>
    </row>
    <row r="48" spans="1:21" ht="20.399999999999999">
      <c r="A48" s="6">
        <v>43427.245925925927</v>
      </c>
      <c r="B48" s="7" t="str">
        <f>HYPERLINK("https://twitter.com/sepaesbi","@sepaesbi")</f>
        <v>@sepaesbi</v>
      </c>
      <c r="C48" s="8" t="s">
        <v>163</v>
      </c>
      <c r="D48" s="9" t="s">
        <v>363</v>
      </c>
      <c r="E48" s="10" t="str">
        <f>HYPERLINK("https://twitter.com/sepaesbi/status/1065966733184430080","1065966733184430080")</f>
        <v>1065966733184430080</v>
      </c>
      <c r="F48" s="14" t="s">
        <v>366</v>
      </c>
      <c r="G48" s="11"/>
      <c r="H48" s="11"/>
      <c r="I48" s="12">
        <v>0</v>
      </c>
      <c r="J48" s="12">
        <v>0</v>
      </c>
      <c r="K48" s="13" t="str">
        <f>HYPERLINK("http://twitter.com","Twitter Web Client")</f>
        <v>Twitter Web Client</v>
      </c>
      <c r="L48" s="12">
        <v>57</v>
      </c>
      <c r="M48" s="12">
        <v>248</v>
      </c>
      <c r="N48" s="12">
        <v>1</v>
      </c>
      <c r="O48" s="15"/>
      <c r="P48" s="6">
        <v>41724.388206018521</v>
      </c>
      <c r="Q48" s="11"/>
      <c r="R48" s="19"/>
      <c r="S48" s="11"/>
      <c r="T48" s="11"/>
      <c r="U48" s="18" t="s">
        <v>168</v>
      </c>
    </row>
    <row r="49" spans="1:21" ht="40.799999999999997">
      <c r="A49" s="6">
        <v>43427.242418981477</v>
      </c>
      <c r="B49" s="7" t="str">
        <f>HYPERLINK("https://twitter.com/rosaroja1956","@rosaroja1956")</f>
        <v>@rosaroja1956</v>
      </c>
      <c r="C49" s="8" t="s">
        <v>368</v>
      </c>
      <c r="D49" s="9" t="s">
        <v>369</v>
      </c>
      <c r="E49" s="10" t="str">
        <f>HYPERLINK("https://twitter.com/rosaroja1956/status/1065965463044161536","1065965463044161536")</f>
        <v>1065965463044161536</v>
      </c>
      <c r="F49" s="14" t="s">
        <v>371</v>
      </c>
      <c r="G49" s="11"/>
      <c r="H49" s="11"/>
      <c r="I49" s="12">
        <v>0</v>
      </c>
      <c r="J49" s="12">
        <v>0</v>
      </c>
      <c r="K49" s="13" t="str">
        <f>HYPERLINK("http://twitter.com/#!/download/ipad","Twitter for iPad")</f>
        <v>Twitter for iPad</v>
      </c>
      <c r="L49" s="12">
        <v>7435</v>
      </c>
      <c r="M49" s="12">
        <v>7410</v>
      </c>
      <c r="N49" s="12">
        <v>123</v>
      </c>
      <c r="O49" s="15"/>
      <c r="P49" s="6">
        <v>40578.482638888891</v>
      </c>
      <c r="Q49" s="16" t="s">
        <v>373</v>
      </c>
      <c r="R49" s="17" t="s">
        <v>374</v>
      </c>
      <c r="S49" s="14" t="s">
        <v>375</v>
      </c>
      <c r="T49" s="11"/>
      <c r="U49" s="10" t="str">
        <f>HYPERLINK("https://pbs.twimg.com/profile_images/1061694505043275777/GxGNHsxt.jpg","View")</f>
        <v>View</v>
      </c>
    </row>
    <row r="50" spans="1:21" ht="40.799999999999997">
      <c r="A50" s="6">
        <v>43427.240416666667</v>
      </c>
      <c r="B50" s="7" t="str">
        <f>HYPERLINK("https://twitter.com/PubliMBI","@PubliMBI")</f>
        <v>@PubliMBI</v>
      </c>
      <c r="C50" s="8" t="s">
        <v>376</v>
      </c>
      <c r="D50" s="9" t="s">
        <v>111</v>
      </c>
      <c r="E50" s="10" t="str">
        <f>HYPERLINK("https://twitter.com/PubliMBI/status/1065964738486636544","1065964738486636544")</f>
        <v>1065964738486636544</v>
      </c>
      <c r="F50" s="14" t="s">
        <v>337</v>
      </c>
      <c r="G50" s="11"/>
      <c r="H50" s="11"/>
      <c r="I50" s="12">
        <v>0</v>
      </c>
      <c r="J50" s="12">
        <v>0</v>
      </c>
      <c r="K50" s="13" t="str">
        <f>HYPERLINK("https://ifttt.com","IFTTT")</f>
        <v>IFTTT</v>
      </c>
      <c r="L50" s="12">
        <v>1583</v>
      </c>
      <c r="M50" s="12">
        <v>2149</v>
      </c>
      <c r="N50" s="12">
        <v>18</v>
      </c>
      <c r="O50" s="15"/>
      <c r="P50" s="6">
        <v>42672.833715277782</v>
      </c>
      <c r="Q50" s="16" t="s">
        <v>379</v>
      </c>
      <c r="R50" s="17" t="s">
        <v>380</v>
      </c>
      <c r="S50" s="14" t="s">
        <v>381</v>
      </c>
      <c r="T50" s="11"/>
      <c r="U50" s="10" t="str">
        <f>HYPERLINK("https://pbs.twimg.com/profile_images/1025163614188187648/NhCVTgu-.jpg","View")</f>
        <v>View</v>
      </c>
    </row>
    <row r="51" spans="1:21" ht="40.799999999999997">
      <c r="A51" s="6">
        <v>43427.240335648152</v>
      </c>
      <c r="B51" s="7" t="str">
        <f>HYPERLINK("https://twitter.com/Pablo_Iglesias_","@Pablo_Iglesias_")</f>
        <v>@Pablo_Iglesias_</v>
      </c>
      <c r="C51" s="8" t="s">
        <v>383</v>
      </c>
      <c r="D51" s="9" t="s">
        <v>384</v>
      </c>
      <c r="E51" s="10" t="str">
        <f>HYPERLINK("https://twitter.com/Pablo_Iglesias_/status/1065964707566313472","1065964707566313472")</f>
        <v>1065964707566313472</v>
      </c>
      <c r="F51" s="14" t="s">
        <v>141</v>
      </c>
      <c r="G51" s="14" t="s">
        <v>387</v>
      </c>
      <c r="H51" s="11"/>
      <c r="I51" s="12">
        <v>71</v>
      </c>
      <c r="J51" s="12">
        <v>125</v>
      </c>
      <c r="K51" s="13" t="str">
        <f>HYPERLINK("http://twitter.com","Twitter Web Client")</f>
        <v>Twitter Web Client</v>
      </c>
      <c r="L51" s="12">
        <v>2240182</v>
      </c>
      <c r="M51" s="12">
        <v>2735</v>
      </c>
      <c r="N51" s="12">
        <v>8469</v>
      </c>
      <c r="O51" s="18" t="s">
        <v>52</v>
      </c>
      <c r="P51" s="6">
        <v>40351.200300925928</v>
      </c>
      <c r="Q51" s="16" t="s">
        <v>38</v>
      </c>
      <c r="R51" s="17" t="s">
        <v>389</v>
      </c>
      <c r="S51" s="14" t="s">
        <v>58</v>
      </c>
      <c r="T51" s="11"/>
      <c r="U51" s="10" t="str">
        <f>HYPERLINK("https://pbs.twimg.com/profile_images/902223370569338884/dL2D2A5P.jpg","View")</f>
        <v>View</v>
      </c>
    </row>
    <row r="52" spans="1:21" ht="30.6">
      <c r="A52" s="6">
        <v>43427.235995370371</v>
      </c>
      <c r="B52" s="7" t="str">
        <f>HYPERLINK("https://twitter.com/josepbenavites","@josepbenavites")</f>
        <v>@josepbenavites</v>
      </c>
      <c r="C52" s="8" t="s">
        <v>201</v>
      </c>
      <c r="D52" s="9" t="s">
        <v>202</v>
      </c>
      <c r="E52" s="10" t="str">
        <f>HYPERLINK("https://twitter.com/josepbenavites/status/1065963134073098240","1065963134073098240")</f>
        <v>1065963134073098240</v>
      </c>
      <c r="F52" s="11"/>
      <c r="G52" s="11"/>
      <c r="H52" s="11"/>
      <c r="I52" s="12">
        <v>0</v>
      </c>
      <c r="J52" s="12">
        <v>0</v>
      </c>
      <c r="K52" s="13" t="str">
        <f t="shared" ref="K52:K53" si="7">HYPERLINK("http://twitter.com/download/android","Twitter for Android")</f>
        <v>Twitter for Android</v>
      </c>
      <c r="L52" s="12">
        <v>1627</v>
      </c>
      <c r="M52" s="12">
        <v>2846</v>
      </c>
      <c r="N52" s="12">
        <v>16</v>
      </c>
      <c r="O52" s="15"/>
      <c r="P52" s="6">
        <v>40285.364236111112</v>
      </c>
      <c r="Q52" s="16" t="s">
        <v>206</v>
      </c>
      <c r="R52" s="17" t="s">
        <v>207</v>
      </c>
      <c r="S52" s="11"/>
      <c r="T52" s="11"/>
      <c r="U52" s="10" t="str">
        <f>HYPERLINK("https://pbs.twimg.com/profile_images/670700604864401408/t5K_veT2.jpg","View")</f>
        <v>View</v>
      </c>
    </row>
    <row r="53" spans="1:21" ht="61.2">
      <c r="A53" s="6">
        <v>43427.235891203702</v>
      </c>
      <c r="B53" s="7" t="str">
        <f>HYPERLINK("https://twitter.com/SacapuntasEl","@SacapuntasEl")</f>
        <v>@SacapuntasEl</v>
      </c>
      <c r="C53" s="8" t="s">
        <v>210</v>
      </c>
      <c r="D53" s="9" t="s">
        <v>211</v>
      </c>
      <c r="E53" s="10" t="str">
        <f>HYPERLINK("https://twitter.com/SacapuntasEl/status/1065963096752209920","1065963096752209920")</f>
        <v>1065963096752209920</v>
      </c>
      <c r="F53" s="16" t="s">
        <v>212</v>
      </c>
      <c r="G53" s="14" t="s">
        <v>213</v>
      </c>
      <c r="H53" s="11"/>
      <c r="I53" s="12">
        <v>0</v>
      </c>
      <c r="J53" s="12">
        <v>1</v>
      </c>
      <c r="K53" s="13" t="str">
        <f t="shared" si="7"/>
        <v>Twitter for Android</v>
      </c>
      <c r="L53" s="12">
        <v>132</v>
      </c>
      <c r="M53" s="12">
        <v>200</v>
      </c>
      <c r="N53" s="12">
        <v>2</v>
      </c>
      <c r="O53" s="15"/>
      <c r="P53" s="6">
        <v>42499.619710648149</v>
      </c>
      <c r="Q53" s="16" t="s">
        <v>28</v>
      </c>
      <c r="R53" s="17" t="s">
        <v>216</v>
      </c>
      <c r="S53" s="14" t="s">
        <v>217</v>
      </c>
      <c r="T53" s="11"/>
      <c r="U53" s="10" t="str">
        <f>HYPERLINK("https://pbs.twimg.com/profile_images/729791740866072576/B-LfzSEf.jpg","View")</f>
        <v>View</v>
      </c>
    </row>
    <row r="54" spans="1:21" ht="20.399999999999999">
      <c r="A54" s="6">
        <v>43427.235034722224</v>
      </c>
      <c r="B54" s="7" t="str">
        <f>HYPERLINK("https://twitter.com/NoticieroUniv","@NoticieroUniv")</f>
        <v>@NoticieroUniv</v>
      </c>
      <c r="C54" s="8" t="s">
        <v>400</v>
      </c>
      <c r="D54" s="9" t="s">
        <v>401</v>
      </c>
      <c r="E54" s="10" t="str">
        <f>HYPERLINK("https://twitter.com/NoticieroUniv/status/1065962787627769857","1065962787627769857")</f>
        <v>1065962787627769857</v>
      </c>
      <c r="F54" s="14" t="s">
        <v>403</v>
      </c>
      <c r="G54" s="11"/>
      <c r="H54" s="11"/>
      <c r="I54" s="12">
        <v>0</v>
      </c>
      <c r="J54" s="12">
        <v>0</v>
      </c>
      <c r="K54" s="13" t="str">
        <f>HYPERLINK("https://noticierouniversal.com/","NoticieroUniversal")</f>
        <v>NoticieroUniversal</v>
      </c>
      <c r="L54" s="12">
        <v>1080</v>
      </c>
      <c r="M54" s="12">
        <v>36</v>
      </c>
      <c r="N54" s="12">
        <v>21</v>
      </c>
      <c r="O54" s="15"/>
      <c r="P54" s="6">
        <v>42402.172939814816</v>
      </c>
      <c r="Q54" s="16" t="s">
        <v>406</v>
      </c>
      <c r="R54" s="17" t="s">
        <v>408</v>
      </c>
      <c r="S54" s="14" t="s">
        <v>410</v>
      </c>
      <c r="T54" s="11"/>
      <c r="U54" s="10" t="str">
        <f>HYPERLINK("https://pbs.twimg.com/profile_images/719648419925594113/OnR0XNMn.jpg","View")</f>
        <v>View</v>
      </c>
    </row>
    <row r="55" spans="1:21" ht="20.399999999999999">
      <c r="A55" s="6">
        <v>43427.232870370368</v>
      </c>
      <c r="B55" s="7" t="str">
        <f>HYPERLINK("https://twitter.com/maxbern24","@maxbern24")</f>
        <v>@maxbern24</v>
      </c>
      <c r="C55" s="8" t="s">
        <v>415</v>
      </c>
      <c r="D55" s="9" t="s">
        <v>416</v>
      </c>
      <c r="E55" s="10" t="str">
        <f>HYPERLINK("https://twitter.com/maxbern24/status/1065962001309024256","1065962001309024256")</f>
        <v>1065962001309024256</v>
      </c>
      <c r="F55" s="14" t="s">
        <v>420</v>
      </c>
      <c r="G55" s="11"/>
      <c r="H55" s="11"/>
      <c r="I55" s="12">
        <v>0</v>
      </c>
      <c r="J55" s="12">
        <v>0</v>
      </c>
      <c r="K55" s="13" t="str">
        <f t="shared" ref="K55:K56" si="8">HYPERLINK("http://twitter.com/download/android","Twitter for Android")</f>
        <v>Twitter for Android</v>
      </c>
      <c r="L55" s="12">
        <v>75</v>
      </c>
      <c r="M55" s="12">
        <v>257</v>
      </c>
      <c r="N55" s="12">
        <v>2</v>
      </c>
      <c r="O55" s="15"/>
      <c r="P55" s="6">
        <v>40265.961412037039</v>
      </c>
      <c r="Q55" s="16" t="s">
        <v>421</v>
      </c>
      <c r="R55" s="17" t="s">
        <v>422</v>
      </c>
      <c r="S55" s="11"/>
      <c r="T55" s="11"/>
      <c r="U55" s="10" t="str">
        <f>HYPERLINK("https://pbs.twimg.com/profile_images/937033459737952263/VX1UHR93.jpg","View")</f>
        <v>View</v>
      </c>
    </row>
    <row r="56" spans="1:21" ht="30.6">
      <c r="A56" s="6">
        <v>43427.232777777783</v>
      </c>
      <c r="B56" s="7" t="str">
        <f>HYPERLINK("https://twitter.com/KikeMlaga","@KikeMlaga")</f>
        <v>@KikeMlaga</v>
      </c>
      <c r="C56" s="8" t="s">
        <v>220</v>
      </c>
      <c r="D56" s="9" t="s">
        <v>221</v>
      </c>
      <c r="E56" s="10" t="str">
        <f>HYPERLINK("https://twitter.com/KikeMlaga/status/1065961969377820672","1065961969377820672")</f>
        <v>1065961969377820672</v>
      </c>
      <c r="F56" s="11"/>
      <c r="G56" s="11"/>
      <c r="H56" s="11"/>
      <c r="I56" s="12">
        <v>8</v>
      </c>
      <c r="J56" s="12">
        <v>8</v>
      </c>
      <c r="K56" s="13" t="str">
        <f t="shared" si="8"/>
        <v>Twitter for Android</v>
      </c>
      <c r="L56" s="12">
        <v>12750</v>
      </c>
      <c r="M56" s="12">
        <v>6573</v>
      </c>
      <c r="N56" s="12">
        <v>505</v>
      </c>
      <c r="O56" s="15"/>
      <c r="P56" s="6">
        <v>41741.205972222218</v>
      </c>
      <c r="Q56" s="11"/>
      <c r="R56" s="17" t="s">
        <v>224</v>
      </c>
      <c r="S56" s="11"/>
      <c r="T56" s="11"/>
      <c r="U56" s="10" t="str">
        <f>HYPERLINK("https://pbs.twimg.com/profile_images/1011358516316200960/GKpIBcYV.jpg","View")</f>
        <v>View</v>
      </c>
    </row>
    <row r="57" spans="1:21" ht="81.599999999999994">
      <c r="A57" s="6">
        <v>43427.232303240744</v>
      </c>
      <c r="B57" s="7" t="str">
        <f>HYPERLINK("https://twitter.com/Paco__PO","@Paco__PO")</f>
        <v>@Paco__PO</v>
      </c>
      <c r="C57" s="8" t="s">
        <v>428</v>
      </c>
      <c r="D57" s="9" t="s">
        <v>429</v>
      </c>
      <c r="E57" s="10" t="str">
        <f>HYPERLINK("https://twitter.com/Paco__PO/status/1065961796664729600","1065961796664729600")</f>
        <v>1065961796664729600</v>
      </c>
      <c r="F57" s="16" t="s">
        <v>432</v>
      </c>
      <c r="G57" s="11"/>
      <c r="H57" s="11"/>
      <c r="I57" s="12">
        <v>0</v>
      </c>
      <c r="J57" s="12">
        <v>0</v>
      </c>
      <c r="K57" s="13" t="str">
        <f>HYPERLINK("http://twitter.com","Twitter Web Client")</f>
        <v>Twitter Web Client</v>
      </c>
      <c r="L57" s="12">
        <v>357</v>
      </c>
      <c r="M57" s="12">
        <v>462</v>
      </c>
      <c r="N57" s="12">
        <v>1</v>
      </c>
      <c r="O57" s="15"/>
      <c r="P57" s="6">
        <v>42681.040590277778</v>
      </c>
      <c r="Q57" s="16" t="s">
        <v>28</v>
      </c>
      <c r="R57" s="17" t="s">
        <v>433</v>
      </c>
      <c r="S57" s="11"/>
      <c r="T57" s="11"/>
      <c r="U57" s="10" t="str">
        <f>HYPERLINK("https://pbs.twimg.com/profile_images/795554381211041792/805q1Dfr.jpg","View")</f>
        <v>View</v>
      </c>
    </row>
    <row r="58" spans="1:21" ht="30.6">
      <c r="A58" s="6">
        <v>43427.231967592597</v>
      </c>
      <c r="B58" s="7" t="str">
        <f>HYPERLINK("https://twitter.com/NoticieroUniv","@NoticieroUniv")</f>
        <v>@NoticieroUniv</v>
      </c>
      <c r="C58" s="8" t="s">
        <v>400</v>
      </c>
      <c r="D58" s="9" t="s">
        <v>437</v>
      </c>
      <c r="E58" s="10" t="str">
        <f>HYPERLINK("https://twitter.com/NoticieroUniv/status/1065961673075433473","1065961673075433473")</f>
        <v>1065961673075433473</v>
      </c>
      <c r="F58" s="14" t="s">
        <v>438</v>
      </c>
      <c r="G58" s="11"/>
      <c r="H58" s="11"/>
      <c r="I58" s="12">
        <v>0</v>
      </c>
      <c r="J58" s="12">
        <v>0</v>
      </c>
      <c r="K58" s="13" t="str">
        <f>HYPERLINK("https://noticierouniversal.com/","NoticieroUniversal")</f>
        <v>NoticieroUniversal</v>
      </c>
      <c r="L58" s="12">
        <v>1080</v>
      </c>
      <c r="M58" s="12">
        <v>36</v>
      </c>
      <c r="N58" s="12">
        <v>21</v>
      </c>
      <c r="O58" s="15"/>
      <c r="P58" s="6">
        <v>42402.172939814816</v>
      </c>
      <c r="Q58" s="16" t="s">
        <v>406</v>
      </c>
      <c r="R58" s="17" t="s">
        <v>408</v>
      </c>
      <c r="S58" s="14" t="s">
        <v>410</v>
      </c>
      <c r="T58" s="11"/>
      <c r="U58" s="10" t="str">
        <f>HYPERLINK("https://pbs.twimg.com/profile_images/719648419925594113/OnR0XNMn.jpg","View")</f>
        <v>View</v>
      </c>
    </row>
    <row r="59" spans="1:21" ht="40.799999999999997">
      <c r="A59" s="6">
        <v>43427.231412037036</v>
      </c>
      <c r="B59" s="7" t="str">
        <f>HYPERLINK("https://twitter.com/jdonosolorenzo","@jdonosolorenzo")</f>
        <v>@jdonosolorenzo</v>
      </c>
      <c r="C59" s="8" t="s">
        <v>444</v>
      </c>
      <c r="D59" s="9" t="s">
        <v>445</v>
      </c>
      <c r="E59" s="10" t="str">
        <f>HYPERLINK("https://twitter.com/jdonosolorenzo/status/1065961473527156736","1065961473527156736")</f>
        <v>1065961473527156736</v>
      </c>
      <c r="F59" s="11"/>
      <c r="G59" s="11"/>
      <c r="H59" s="11"/>
      <c r="I59" s="12">
        <v>0</v>
      </c>
      <c r="J59" s="12">
        <v>0</v>
      </c>
      <c r="K59" s="13" t="str">
        <f>HYPERLINK("http://twitter.com/download/iphone","Twitter for iPhone")</f>
        <v>Twitter for iPhone</v>
      </c>
      <c r="L59" s="12">
        <v>160</v>
      </c>
      <c r="M59" s="12">
        <v>452</v>
      </c>
      <c r="N59" s="12">
        <v>0</v>
      </c>
      <c r="O59" s="15"/>
      <c r="P59" s="6">
        <v>42303.202615740738</v>
      </c>
      <c r="Q59" s="11"/>
      <c r="R59" s="17" t="s">
        <v>448</v>
      </c>
      <c r="S59" s="11"/>
      <c r="T59" s="11"/>
      <c r="U59" s="10" t="str">
        <f>HYPERLINK("https://pbs.twimg.com/profile_images/658616223471685632/1K0UStBQ.jpg","View")</f>
        <v>View</v>
      </c>
    </row>
    <row r="60" spans="1:21" ht="30.6">
      <c r="A60" s="6">
        <v>43427.23055555555</v>
      </c>
      <c r="B60" s="7" t="str">
        <f>HYPERLINK("https://twitter.com/pressdigital","@pressdigital")</f>
        <v>@pressdigital</v>
      </c>
      <c r="C60" s="8" t="s">
        <v>453</v>
      </c>
      <c r="D60" s="9" t="s">
        <v>454</v>
      </c>
      <c r="E60" s="10" t="str">
        <f>HYPERLINK("https://twitter.com/pressdigital/status/1065961163933040640","1065961163933040640")</f>
        <v>1065961163933040640</v>
      </c>
      <c r="F60" s="14" t="s">
        <v>455</v>
      </c>
      <c r="G60" s="11"/>
      <c r="H60" s="11"/>
      <c r="I60" s="12">
        <v>0</v>
      </c>
      <c r="J60" s="12">
        <v>0</v>
      </c>
      <c r="K60" s="13" t="str">
        <f>HYPERLINK("https://buffer.com","Buffer")</f>
        <v>Buffer</v>
      </c>
      <c r="L60" s="12">
        <v>1203</v>
      </c>
      <c r="M60" s="12">
        <v>1054</v>
      </c>
      <c r="N60" s="12">
        <v>73</v>
      </c>
      <c r="O60" s="15"/>
      <c r="P60" s="6">
        <v>40142.461041666669</v>
      </c>
      <c r="Q60" s="16" t="s">
        <v>28</v>
      </c>
      <c r="R60" s="17" t="s">
        <v>458</v>
      </c>
      <c r="S60" s="14" t="s">
        <v>459</v>
      </c>
      <c r="T60" s="11"/>
      <c r="U60" s="10" t="str">
        <f>HYPERLINK("https://pbs.twimg.com/profile_images/686495616231444480/68bUHQ6J.jpg","View")</f>
        <v>View</v>
      </c>
    </row>
    <row r="61" spans="1:21" ht="30.6">
      <c r="A61" s="6">
        <v>43427.230428240742</v>
      </c>
      <c r="B61" s="7" t="str">
        <f>HYPERLINK("https://twitter.com/Republica_com","@Republica_com")</f>
        <v>@Republica_com</v>
      </c>
      <c r="C61" s="22" t="s">
        <v>461</v>
      </c>
      <c r="D61" s="9" t="s">
        <v>462</v>
      </c>
      <c r="E61" s="10" t="str">
        <f>HYPERLINK("https://twitter.com/Republica_com/status/1065961118378663936","1065961118378663936")</f>
        <v>1065961118378663936</v>
      </c>
      <c r="F61" s="14" t="s">
        <v>465</v>
      </c>
      <c r="G61" s="14" t="s">
        <v>466</v>
      </c>
      <c r="H61" s="11"/>
      <c r="I61" s="12">
        <v>0</v>
      </c>
      <c r="J61" s="12">
        <v>0</v>
      </c>
      <c r="K61" s="13" t="str">
        <f>HYPERLINK("https://www.republica.com","Republica_com")</f>
        <v>Republica_com</v>
      </c>
      <c r="L61" s="12">
        <v>10108</v>
      </c>
      <c r="M61" s="12">
        <v>1227</v>
      </c>
      <c r="N61" s="12">
        <v>465</v>
      </c>
      <c r="O61" s="15"/>
      <c r="P61" s="6">
        <v>40240.308865740742</v>
      </c>
      <c r="Q61" s="16" t="s">
        <v>28</v>
      </c>
      <c r="R61" s="17" t="s">
        <v>467</v>
      </c>
      <c r="S61" s="14" t="s">
        <v>468</v>
      </c>
      <c r="T61" s="11"/>
      <c r="U61" s="10" t="str">
        <f>HYPERLINK("https://pbs.twimg.com/profile_images/553133695133941760/v--ksuL8.png","View")</f>
        <v>View</v>
      </c>
    </row>
    <row r="62" spans="1:21" ht="30.6">
      <c r="A62" s="6">
        <v>43427.229768518519</v>
      </c>
      <c r="B62" s="7" t="str">
        <f>HYPERLINK("https://twitter.com/JMancha64","@JMancha64")</f>
        <v>@JMancha64</v>
      </c>
      <c r="C62" s="8" t="s">
        <v>470</v>
      </c>
      <c r="D62" s="9" t="s">
        <v>471</v>
      </c>
      <c r="E62" s="10" t="str">
        <f>HYPERLINK("https://twitter.com/JMancha64/status/1065960878435172352","1065960878435172352")</f>
        <v>1065960878435172352</v>
      </c>
      <c r="F62" s="11"/>
      <c r="G62" s="11"/>
      <c r="H62" s="11"/>
      <c r="I62" s="12">
        <v>0</v>
      </c>
      <c r="J62" s="12">
        <v>0</v>
      </c>
      <c r="K62" s="13" t="str">
        <f>HYPERLINK("http://twitter.com/download/iphone","Twitter for iPhone")</f>
        <v>Twitter for iPhone</v>
      </c>
      <c r="L62" s="12">
        <v>278</v>
      </c>
      <c r="M62" s="12">
        <v>345</v>
      </c>
      <c r="N62" s="12">
        <v>1</v>
      </c>
      <c r="O62" s="15"/>
      <c r="P62" s="6">
        <v>41144.053252314814</v>
      </c>
      <c r="Q62" s="16" t="s">
        <v>475</v>
      </c>
      <c r="R62" s="17" t="s">
        <v>476</v>
      </c>
      <c r="S62" s="11"/>
      <c r="T62" s="11"/>
      <c r="U62" s="10" t="str">
        <f>HYPERLINK("https://pbs.twimg.com/profile_images/1041585010959101952/UwLNrDaB.jpg","View")</f>
        <v>View</v>
      </c>
    </row>
    <row r="63" spans="1:21" ht="51">
      <c r="A63" s="6">
        <v>43427.226967592593</v>
      </c>
      <c r="B63" s="7" t="str">
        <f>HYPERLINK("https://twitter.com/serjares","@serjares")</f>
        <v>@serjares</v>
      </c>
      <c r="C63" s="8" t="s">
        <v>227</v>
      </c>
      <c r="D63" s="9" t="s">
        <v>229</v>
      </c>
      <c r="E63" s="10" t="str">
        <f>HYPERLINK("https://twitter.com/serjares/status/1065959863526858752","1065959863526858752")</f>
        <v>1065959863526858752</v>
      </c>
      <c r="F63" s="14" t="s">
        <v>230</v>
      </c>
      <c r="G63" s="11"/>
      <c r="H63" s="11"/>
      <c r="I63" s="12">
        <v>0</v>
      </c>
      <c r="J63" s="12">
        <v>0</v>
      </c>
      <c r="K63" s="13" t="str">
        <f t="shared" ref="K63:K64" si="9">HYPERLINK("http://twitter.com","Twitter Web Client")</f>
        <v>Twitter Web Client</v>
      </c>
      <c r="L63" s="12">
        <v>645</v>
      </c>
      <c r="M63" s="12">
        <v>244</v>
      </c>
      <c r="N63" s="12">
        <v>12</v>
      </c>
      <c r="O63" s="15"/>
      <c r="P63" s="6">
        <v>40921.625</v>
      </c>
      <c r="Q63" s="16" t="s">
        <v>234</v>
      </c>
      <c r="R63" s="17" t="s">
        <v>235</v>
      </c>
      <c r="S63" s="11"/>
      <c r="T63" s="11"/>
      <c r="U63" s="10" t="str">
        <f>HYPERLINK("https://pbs.twimg.com/profile_images/818906679257563138/uDlM3QVe.jpg","View")</f>
        <v>View</v>
      </c>
    </row>
    <row r="64" spans="1:21" ht="51">
      <c r="A64" s="6">
        <v>43427.226377314815</v>
      </c>
      <c r="B64" s="7" t="str">
        <f>HYPERLINK("https://twitter.com/ElSastrin","@ElSastrin")</f>
        <v>@ElSastrin</v>
      </c>
      <c r="C64" s="8" t="s">
        <v>238</v>
      </c>
      <c r="D64" s="9" t="s">
        <v>239</v>
      </c>
      <c r="E64" s="10" t="str">
        <f>HYPERLINK("https://twitter.com/ElSastrin/status/1065959647838904320","1065959647838904320")</f>
        <v>1065959647838904320</v>
      </c>
      <c r="F64" s="14" t="s">
        <v>96</v>
      </c>
      <c r="G64" s="11"/>
      <c r="H64" s="11"/>
      <c r="I64" s="12">
        <v>0</v>
      </c>
      <c r="J64" s="12">
        <v>3</v>
      </c>
      <c r="K64" s="13" t="str">
        <f t="shared" si="9"/>
        <v>Twitter Web Client</v>
      </c>
      <c r="L64" s="12">
        <v>936</v>
      </c>
      <c r="M64" s="12">
        <v>809</v>
      </c>
      <c r="N64" s="12">
        <v>16</v>
      </c>
      <c r="O64" s="15"/>
      <c r="P64" s="6">
        <v>41577.4378587963</v>
      </c>
      <c r="Q64" s="16" t="s">
        <v>243</v>
      </c>
      <c r="R64" s="17" t="s">
        <v>244</v>
      </c>
      <c r="S64" s="11"/>
      <c r="T64" s="11"/>
      <c r="U64" s="10" t="str">
        <f>HYPERLINK("https://pbs.twimg.com/profile_images/1042277080019464199/e_UrMoWL.jpg","View")</f>
        <v>View</v>
      </c>
    </row>
    <row r="65" spans="1:21" ht="40.799999999999997">
      <c r="A65" s="6">
        <v>43427.22274305555</v>
      </c>
      <c r="B65" s="7" t="str">
        <f>HYPERLINK("https://twitter.com/SArkaitz","@SArkaitz")</f>
        <v>@SArkaitz</v>
      </c>
      <c r="C65" s="8" t="s">
        <v>247</v>
      </c>
      <c r="D65" s="9" t="s">
        <v>248</v>
      </c>
      <c r="E65" s="10" t="str">
        <f>HYPERLINK("https://twitter.com/SArkaitz/status/1065958330617786368","1065958330617786368")</f>
        <v>1065958330617786368</v>
      </c>
      <c r="F65" s="11"/>
      <c r="G65" s="11"/>
      <c r="H65" s="11"/>
      <c r="I65" s="12">
        <v>0</v>
      </c>
      <c r="J65" s="12">
        <v>1</v>
      </c>
      <c r="K65" s="13" t="str">
        <f>HYPERLINK("http://twitter.com/download/android","Twitter for Android")</f>
        <v>Twitter for Android</v>
      </c>
      <c r="L65" s="12">
        <v>18</v>
      </c>
      <c r="M65" s="12">
        <v>43</v>
      </c>
      <c r="N65" s="12">
        <v>0</v>
      </c>
      <c r="O65" s="15"/>
      <c r="P65" s="6">
        <v>42382.572256944448</v>
      </c>
      <c r="Q65" s="11"/>
      <c r="R65" s="19"/>
      <c r="S65" s="11"/>
      <c r="T65" s="11"/>
      <c r="U65" s="10" t="str">
        <f>HYPERLINK("https://pbs.twimg.com/profile_images/967830007765716993/OyDdkb5h.jpg","View")</f>
        <v>View</v>
      </c>
    </row>
    <row r="66" spans="1:21" ht="30.6">
      <c r="A66" s="6">
        <v>43427.221817129626</v>
      </c>
      <c r="B66" s="7" t="str">
        <f>HYPERLINK("https://twitter.com/pepeconjerez","@pepeconjerez")</f>
        <v>@pepeconjerez</v>
      </c>
      <c r="C66" s="8" t="s">
        <v>500</v>
      </c>
      <c r="D66" s="9" t="s">
        <v>369</v>
      </c>
      <c r="E66" s="10" t="str">
        <f>HYPERLINK("https://twitter.com/pepeconjerez/status/1065957996788924417","1065957996788924417")</f>
        <v>1065957996788924417</v>
      </c>
      <c r="F66" s="14" t="s">
        <v>371</v>
      </c>
      <c r="G66" s="11"/>
      <c r="H66" s="11"/>
      <c r="I66" s="12">
        <v>0</v>
      </c>
      <c r="J66" s="12">
        <v>0</v>
      </c>
      <c r="K66" s="13" t="str">
        <f>HYPERLINK("http://twitter.com","Twitter Web Client")</f>
        <v>Twitter Web Client</v>
      </c>
      <c r="L66" s="12">
        <v>4871</v>
      </c>
      <c r="M66" s="12">
        <v>5333</v>
      </c>
      <c r="N66" s="12">
        <v>210</v>
      </c>
      <c r="O66" s="15"/>
      <c r="P66" s="6">
        <v>40560.135636574072</v>
      </c>
      <c r="Q66" s="16" t="s">
        <v>502</v>
      </c>
      <c r="R66" s="17" t="s">
        <v>503</v>
      </c>
      <c r="S66" s="14" t="s">
        <v>504</v>
      </c>
      <c r="T66" s="11"/>
      <c r="U66" s="10" t="str">
        <f>HYPERLINK("https://pbs.twimg.com/profile_images/1032273229883342848/NAouY_j7.jpg","View")</f>
        <v>View</v>
      </c>
    </row>
    <row r="67" spans="1:21" ht="40.799999999999997">
      <c r="A67" s="6">
        <v>43427.221724537041</v>
      </c>
      <c r="B67" s="7" t="str">
        <f>HYPERLINK("https://twitter.com/floridablanca_","@floridablanca_")</f>
        <v>@floridablanca_</v>
      </c>
      <c r="C67" s="8" t="s">
        <v>506</v>
      </c>
      <c r="D67" s="9" t="s">
        <v>507</v>
      </c>
      <c r="E67" s="10" t="str">
        <f>HYPERLINK("https://twitter.com/floridablanca_/status/1065957962978603008","1065957962978603008")</f>
        <v>1065957962978603008</v>
      </c>
      <c r="F67" s="14" t="s">
        <v>510</v>
      </c>
      <c r="G67" s="11"/>
      <c r="H67" s="11"/>
      <c r="I67" s="12">
        <v>16</v>
      </c>
      <c r="J67" s="12">
        <v>17</v>
      </c>
      <c r="K67" s="13" t="str">
        <f>HYPERLINK("http://twitter.com/download/iphone","Twitter for iPhone")</f>
        <v>Twitter for iPhone</v>
      </c>
      <c r="L67" s="12">
        <v>6603</v>
      </c>
      <c r="M67" s="12">
        <v>661</v>
      </c>
      <c r="N67" s="12">
        <v>115</v>
      </c>
      <c r="O67" s="18" t="s">
        <v>52</v>
      </c>
      <c r="P67" s="6">
        <v>42018.097233796296</v>
      </c>
      <c r="Q67" s="16" t="s">
        <v>28</v>
      </c>
      <c r="R67" s="17" t="s">
        <v>512</v>
      </c>
      <c r="S67" s="14" t="s">
        <v>513</v>
      </c>
      <c r="T67" s="11"/>
      <c r="U67" s="10" t="str">
        <f>HYPERLINK("https://pbs.twimg.com/profile_images/965983723668811781/I1llIoWj.jpg","View")</f>
        <v>View</v>
      </c>
    </row>
    <row r="68" spans="1:21" ht="20.399999999999999">
      <c r="A68" s="6">
        <v>43427.221678240741</v>
      </c>
      <c r="B68" s="7" t="str">
        <f>HYPERLINK("https://twitter.com/NacionalAlerta","@NacionalAlerta")</f>
        <v>@NacionalAlerta</v>
      </c>
      <c r="C68" s="8" t="s">
        <v>517</v>
      </c>
      <c r="D68" s="9" t="s">
        <v>518</v>
      </c>
      <c r="E68" s="10" t="str">
        <f>HYPERLINK("https://twitter.com/NacionalAlerta/status/1065957947832975360","1065957947832975360")</f>
        <v>1065957947832975360</v>
      </c>
      <c r="F68" s="14" t="s">
        <v>519</v>
      </c>
      <c r="G68" s="14" t="s">
        <v>520</v>
      </c>
      <c r="H68" s="11"/>
      <c r="I68" s="12">
        <v>0</v>
      </c>
      <c r="J68" s="12">
        <v>0</v>
      </c>
      <c r="K68" s="13" t="str">
        <f>HYPERLINK("http://publicize.wp.com/","WordPress.com")</f>
        <v>WordPress.com</v>
      </c>
      <c r="L68" s="12">
        <v>68</v>
      </c>
      <c r="M68" s="12">
        <v>27</v>
      </c>
      <c r="N68" s="12">
        <v>2</v>
      </c>
      <c r="O68" s="15"/>
      <c r="P68" s="6">
        <v>43361.344618055555</v>
      </c>
      <c r="Q68" s="16" t="s">
        <v>28</v>
      </c>
      <c r="R68" s="19"/>
      <c r="S68" s="14" t="s">
        <v>523</v>
      </c>
      <c r="T68" s="11"/>
      <c r="U68" s="10" t="str">
        <f>HYPERLINK("https://pbs.twimg.com/profile_images/1042072480435847169/mB0J8NN0.jpg","View")</f>
        <v>View</v>
      </c>
    </row>
    <row r="69" spans="1:21" ht="30.6">
      <c r="A69" s="6">
        <v>43427.2191087963</v>
      </c>
      <c r="B69" s="7" t="str">
        <f>HYPERLINK("https://twitter.com/EAMORENOURIBE","@EAMORENOURIBE")</f>
        <v>@EAMORENOURIBE</v>
      </c>
      <c r="C69" s="8" t="s">
        <v>525</v>
      </c>
      <c r="D69" s="9" t="s">
        <v>526</v>
      </c>
      <c r="E69" s="10" t="str">
        <f>HYPERLINK("https://twitter.com/EAMORENOURIBE/status/1065957014399041536","1065957014399041536")</f>
        <v>1065957014399041536</v>
      </c>
      <c r="F69" s="14" t="s">
        <v>529</v>
      </c>
      <c r="G69" s="11"/>
      <c r="H69" s="11"/>
      <c r="I69" s="12">
        <v>0</v>
      </c>
      <c r="J69" s="12">
        <v>0</v>
      </c>
      <c r="K69" s="13" t="str">
        <f t="shared" ref="K69:K70" si="10">HYPERLINK("http://twitter.com","Twitter Web Client")</f>
        <v>Twitter Web Client</v>
      </c>
      <c r="L69" s="12">
        <v>12165</v>
      </c>
      <c r="M69" s="12">
        <v>13383</v>
      </c>
      <c r="N69" s="12">
        <v>95</v>
      </c>
      <c r="O69" s="15"/>
      <c r="P69" s="6">
        <v>40209.373148148152</v>
      </c>
      <c r="Q69" s="16" t="s">
        <v>530</v>
      </c>
      <c r="R69" s="17" t="s">
        <v>531</v>
      </c>
      <c r="S69" s="14" t="s">
        <v>532</v>
      </c>
      <c r="T69" s="11"/>
      <c r="U69" s="10" t="str">
        <f>HYPERLINK("https://pbs.twimg.com/profile_images/459054315991101440/LJGGsF_4.jpeg","View")</f>
        <v>View</v>
      </c>
    </row>
    <row r="70" spans="1:21" ht="51">
      <c r="A70" s="6">
        <v>43427.216064814813</v>
      </c>
      <c r="B70" s="7" t="str">
        <f>HYPERLINK("https://twitter.com/noticiasgibral1","@noticiasgibral1")</f>
        <v>@noticiasgibral1</v>
      </c>
      <c r="C70" s="8" t="s">
        <v>537</v>
      </c>
      <c r="D70" s="9" t="s">
        <v>539</v>
      </c>
      <c r="E70" s="10" t="str">
        <f>HYPERLINK("https://twitter.com/noticiasgibral1/status/1065955911615811585","1065955911615811585")</f>
        <v>1065955911615811585</v>
      </c>
      <c r="F70" s="14" t="s">
        <v>540</v>
      </c>
      <c r="G70" s="14" t="s">
        <v>541</v>
      </c>
      <c r="H70" s="11"/>
      <c r="I70" s="12">
        <v>0</v>
      </c>
      <c r="J70" s="12">
        <v>0</v>
      </c>
      <c r="K70" s="13" t="str">
        <f t="shared" si="10"/>
        <v>Twitter Web Client</v>
      </c>
      <c r="L70" s="12">
        <v>113</v>
      </c>
      <c r="M70" s="12">
        <v>124</v>
      </c>
      <c r="N70" s="12">
        <v>3</v>
      </c>
      <c r="O70" s="15"/>
      <c r="P70" s="6">
        <v>42402.413171296299</v>
      </c>
      <c r="Q70" s="11"/>
      <c r="R70" s="19"/>
      <c r="S70" s="14" t="s">
        <v>545</v>
      </c>
      <c r="T70" s="11"/>
      <c r="U70" s="10" t="str">
        <f>HYPERLINK("https://pbs.twimg.com/profile_images/840650616334614529/L434K6iW.jpg","View")</f>
        <v>View</v>
      </c>
    </row>
    <row r="71" spans="1:21" ht="30.6">
      <c r="A71" s="6">
        <v>43427.214814814812</v>
      </c>
      <c r="B71" s="7" t="str">
        <f>HYPERLINK("https://twitter.com/TeresaN511","@TeresaN511")</f>
        <v>@TeresaN511</v>
      </c>
      <c r="C71" s="8" t="s">
        <v>548</v>
      </c>
      <c r="D71" s="9" t="s">
        <v>549</v>
      </c>
      <c r="E71" s="10" t="str">
        <f>HYPERLINK("https://twitter.com/TeresaN511/status/1065955459927076864","1065955459927076864")</f>
        <v>1065955459927076864</v>
      </c>
      <c r="F71" s="14" t="s">
        <v>552</v>
      </c>
      <c r="G71" s="14" t="s">
        <v>553</v>
      </c>
      <c r="H71" s="11"/>
      <c r="I71" s="12">
        <v>0</v>
      </c>
      <c r="J71" s="12">
        <v>0</v>
      </c>
      <c r="K71" s="13" t="str">
        <f>HYPERLINK("https://ifttt.com","IFTTT")</f>
        <v>IFTTT</v>
      </c>
      <c r="L71" s="12">
        <v>22</v>
      </c>
      <c r="M71" s="12">
        <v>13</v>
      </c>
      <c r="N71" s="12">
        <v>2</v>
      </c>
      <c r="O71" s="15"/>
      <c r="P71" s="6">
        <v>42736.200069444443</v>
      </c>
      <c r="Q71" s="11"/>
      <c r="R71" s="17" t="s">
        <v>554</v>
      </c>
      <c r="S71" s="11"/>
      <c r="T71" s="11"/>
      <c r="U71" s="10" t="str">
        <f>HYPERLINK("https://pbs.twimg.com/profile_images/819116744342114304/ytQFaOmN.jpg","View")</f>
        <v>View</v>
      </c>
    </row>
    <row r="72" spans="1:21" ht="13.2">
      <c r="A72" s="6">
        <v>43427.214537037042</v>
      </c>
      <c r="B72" s="7" t="str">
        <f>HYPERLINK("https://twitter.com/VictoriAndres1","@VictoriAndres1")</f>
        <v>@VictoriAndres1</v>
      </c>
      <c r="C72" s="8" t="s">
        <v>33</v>
      </c>
      <c r="D72" s="9" t="s">
        <v>558</v>
      </c>
      <c r="E72" s="10" t="str">
        <f>HYPERLINK("https://twitter.com/VictoriAndres1/status/1065955359221780480","1065955359221780480")</f>
        <v>1065955359221780480</v>
      </c>
      <c r="F72" s="14" t="s">
        <v>559</v>
      </c>
      <c r="G72" s="11"/>
      <c r="H72" s="11"/>
      <c r="I72" s="12">
        <v>0</v>
      </c>
      <c r="J72" s="12">
        <v>0</v>
      </c>
      <c r="K72" s="13" t="str">
        <f>HYPERLINK("http://www.facebook.com/twitter","Facebook")</f>
        <v>Facebook</v>
      </c>
      <c r="L72" s="12">
        <v>196</v>
      </c>
      <c r="M72" s="12">
        <v>292</v>
      </c>
      <c r="N72" s="12">
        <v>1</v>
      </c>
      <c r="O72" s="15"/>
      <c r="P72" s="6">
        <v>40992.087916666671</v>
      </c>
      <c r="Q72" s="16" t="s">
        <v>38</v>
      </c>
      <c r="R72" s="17" t="s">
        <v>40</v>
      </c>
      <c r="S72" s="14" t="s">
        <v>41</v>
      </c>
      <c r="T72" s="11"/>
      <c r="U72" s="10" t="str">
        <f>HYPERLINK("https://pbs.twimg.com/profile_images/1018850373476454400/___hRpp7.jpg","View")</f>
        <v>View</v>
      </c>
    </row>
    <row r="73" spans="1:21" ht="30.6">
      <c r="A73" s="6">
        <v>43427.214155092588</v>
      </c>
      <c r="B73" s="7" t="str">
        <f>HYPERLINK("https://twitter.com/DebatAlRojoVivo","@DebatAlRojoVivo")</f>
        <v>@DebatAlRojoVivo</v>
      </c>
      <c r="C73" s="8" t="s">
        <v>563</v>
      </c>
      <c r="D73" s="9" t="s">
        <v>549</v>
      </c>
      <c r="E73" s="10" t="str">
        <f>HYPERLINK("https://twitter.com/DebatAlRojoVivo/status/1065955219647934464","1065955219647934464")</f>
        <v>1065955219647934464</v>
      </c>
      <c r="F73" s="14" t="s">
        <v>552</v>
      </c>
      <c r="G73" s="14" t="s">
        <v>553</v>
      </c>
      <c r="H73" s="11"/>
      <c r="I73" s="12">
        <v>5</v>
      </c>
      <c r="J73" s="12">
        <v>5</v>
      </c>
      <c r="K73" s="13" t="str">
        <f>HYPERLINK("http://dogtrack.es","DogTrack_Oficial")</f>
        <v>DogTrack_Oficial</v>
      </c>
      <c r="L73" s="12">
        <v>484474</v>
      </c>
      <c r="M73" s="12">
        <v>279</v>
      </c>
      <c r="N73" s="12">
        <v>2909</v>
      </c>
      <c r="O73" s="18" t="s">
        <v>52</v>
      </c>
      <c r="P73" s="6">
        <v>40555.49763888889</v>
      </c>
      <c r="Q73" s="11"/>
      <c r="R73" s="17" t="s">
        <v>567</v>
      </c>
      <c r="S73" s="14" t="s">
        <v>568</v>
      </c>
      <c r="T73" s="11"/>
      <c r="U73" s="10" t="str">
        <f>HYPERLINK("https://pbs.twimg.com/profile_images/1063014308857237504/GEyVz5-l.jpg","View")</f>
        <v>View</v>
      </c>
    </row>
    <row r="74" spans="1:21" ht="20.399999999999999">
      <c r="A74" s="6">
        <v>43427.213425925926</v>
      </c>
      <c r="B74" s="7" t="str">
        <f>HYPERLINK("https://twitter.com/juanagallardo1","@juanagallardo1")</f>
        <v>@juanagallardo1</v>
      </c>
      <c r="C74" s="8" t="s">
        <v>32</v>
      </c>
      <c r="D74" s="9" t="s">
        <v>572</v>
      </c>
      <c r="E74" s="10" t="str">
        <f>HYPERLINK("https://twitter.com/juanagallardo1/status/1065954955918536705","1065954955918536705")</f>
        <v>1065954955918536705</v>
      </c>
      <c r="F74" s="14" t="s">
        <v>576</v>
      </c>
      <c r="G74" s="11"/>
      <c r="H74" s="11"/>
      <c r="I74" s="12">
        <v>1</v>
      </c>
      <c r="J74" s="12">
        <v>2</v>
      </c>
      <c r="K74" s="13" t="str">
        <f>HYPERLINK("http://twitter.com/download/android","Twitter for Android")</f>
        <v>Twitter for Android</v>
      </c>
      <c r="L74" s="12">
        <v>2743</v>
      </c>
      <c r="M74" s="12">
        <v>779</v>
      </c>
      <c r="N74" s="12">
        <v>37</v>
      </c>
      <c r="O74" s="15"/>
      <c r="P74" s="6">
        <v>40344.234560185185</v>
      </c>
      <c r="Q74" s="16" t="s">
        <v>37</v>
      </c>
      <c r="R74" s="17" t="s">
        <v>39</v>
      </c>
      <c r="S74" s="14" t="s">
        <v>35</v>
      </c>
      <c r="T74" s="11"/>
      <c r="U74" s="10" t="str">
        <f>HYPERLINK("https://pbs.twimg.com/profile_images/941670316845256709/Q5gn0SRu.jpg","View")</f>
        <v>View</v>
      </c>
    </row>
    <row r="75" spans="1:21" ht="40.799999999999997">
      <c r="A75" s="6">
        <v>43427.213344907403</v>
      </c>
      <c r="B75" s="7" t="str">
        <f>HYPERLINK("https://twitter.com/angelmreina","@angelmreina")</f>
        <v>@angelmreina</v>
      </c>
      <c r="C75" s="8" t="s">
        <v>251</v>
      </c>
      <c r="D75" s="9" t="s">
        <v>252</v>
      </c>
      <c r="E75" s="10" t="str">
        <f>HYPERLINK("https://twitter.com/angelmreina/status/1065954924243107840","1065954924243107840")</f>
        <v>1065954924243107840</v>
      </c>
      <c r="F75" s="11"/>
      <c r="G75" s="11"/>
      <c r="H75" s="11"/>
      <c r="I75" s="12">
        <v>2</v>
      </c>
      <c r="J75" s="12">
        <v>10</v>
      </c>
      <c r="K75" s="13" t="str">
        <f>HYPERLINK("https://mobile.twitter.com","Twitter Lite")</f>
        <v>Twitter Lite</v>
      </c>
      <c r="L75" s="12">
        <v>197</v>
      </c>
      <c r="M75" s="12">
        <v>940</v>
      </c>
      <c r="N75" s="12">
        <v>1</v>
      </c>
      <c r="O75" s="15"/>
      <c r="P75" s="6">
        <v>43157.179583333331</v>
      </c>
      <c r="Q75" s="16" t="s">
        <v>257</v>
      </c>
      <c r="R75" s="17" t="s">
        <v>258</v>
      </c>
      <c r="S75" s="11"/>
      <c r="T75" s="11"/>
      <c r="U75" s="10" t="str">
        <f>HYPERLINK("https://pbs.twimg.com/profile_images/1007312787142533120/c-DzV8VP.jpg","View")</f>
        <v>View</v>
      </c>
    </row>
    <row r="76" spans="1:21" ht="61.2">
      <c r="A76" s="6">
        <v>43427.212962962964</v>
      </c>
      <c r="B76" s="7" t="str">
        <f>HYPERLINK("https://twitter.com/elnath_taur","@elnath_taur")</f>
        <v>@elnath_taur</v>
      </c>
      <c r="C76" s="8" t="s">
        <v>260</v>
      </c>
      <c r="D76" s="9" t="s">
        <v>261</v>
      </c>
      <c r="E76" s="10" t="str">
        <f>HYPERLINK("https://twitter.com/elnath_taur/status/1065954789471789059","1065954789471789059")</f>
        <v>1065954789471789059</v>
      </c>
      <c r="F76" s="11"/>
      <c r="G76" s="11"/>
      <c r="H76" s="11"/>
      <c r="I76" s="12">
        <v>0</v>
      </c>
      <c r="J76" s="12">
        <v>0</v>
      </c>
      <c r="K76" s="13" t="str">
        <f>HYPERLINK("http://twitter.com/download/iphone","Twitter for iPhone")</f>
        <v>Twitter for iPhone</v>
      </c>
      <c r="L76" s="12">
        <v>62</v>
      </c>
      <c r="M76" s="12">
        <v>372</v>
      </c>
      <c r="N76" s="12">
        <v>0</v>
      </c>
      <c r="O76" s="15"/>
      <c r="P76" s="6">
        <v>43251.589826388888</v>
      </c>
      <c r="Q76" s="16" t="s">
        <v>265</v>
      </c>
      <c r="R76" s="17" t="s">
        <v>266</v>
      </c>
      <c r="S76" s="11"/>
      <c r="T76" s="11"/>
      <c r="U76" s="10" t="str">
        <f>HYPERLINK("https://pbs.twimg.com/profile_images/1002296818296868864/tRctdB3Y.jpg","View")</f>
        <v>View</v>
      </c>
    </row>
    <row r="77" spans="1:21" ht="40.799999999999997">
      <c r="A77" s="6">
        <v>43427.212546296301</v>
      </c>
      <c r="B77" s="7" t="str">
        <f>HYPERLINK("https://twitter.com/MARIANHONT","@MARIANHONT")</f>
        <v>@MARIANHONT</v>
      </c>
      <c r="C77" s="8" t="s">
        <v>590</v>
      </c>
      <c r="D77" s="9" t="s">
        <v>592</v>
      </c>
      <c r="E77" s="10" t="str">
        <f>HYPERLINK("https://twitter.com/MARIANHONT/status/1065954637147185153","1065954637147185153")</f>
        <v>1065954637147185153</v>
      </c>
      <c r="F77" s="14" t="s">
        <v>75</v>
      </c>
      <c r="G77" s="11"/>
      <c r="H77" s="11"/>
      <c r="I77" s="12">
        <v>0</v>
      </c>
      <c r="J77" s="12">
        <v>0</v>
      </c>
      <c r="K77" s="13" t="str">
        <f>HYPERLINK("http://twitter.com","Twitter Web Client")</f>
        <v>Twitter Web Client</v>
      </c>
      <c r="L77" s="12">
        <v>7169</v>
      </c>
      <c r="M77" s="12">
        <v>6623</v>
      </c>
      <c r="N77" s="12">
        <v>18</v>
      </c>
      <c r="O77" s="15"/>
      <c r="P77" s="6">
        <v>41009.467106481483</v>
      </c>
      <c r="Q77" s="16" t="s">
        <v>268</v>
      </c>
      <c r="R77" s="17" t="s">
        <v>593</v>
      </c>
      <c r="S77" s="11"/>
      <c r="T77" s="11"/>
      <c r="U77" s="10" t="str">
        <f>HYPERLINK("https://pbs.twimg.com/profile_images/836572311914446848/8xk08PSN.jpg","View")</f>
        <v>View</v>
      </c>
    </row>
    <row r="78" spans="1:21" ht="40.799999999999997">
      <c r="A78" s="6">
        <v>43427.212523148148</v>
      </c>
      <c r="B78" s="7" t="str">
        <f>HYPERLINK("https://twitter.com/jfmunozro","@jfmunozro")</f>
        <v>@jfmunozro</v>
      </c>
      <c r="C78" s="8" t="s">
        <v>595</v>
      </c>
      <c r="D78" s="9" t="s">
        <v>596</v>
      </c>
      <c r="E78" s="10" t="str">
        <f>HYPERLINK("https://twitter.com/jfmunozro/status/1065954626585993216","1065954626585993216")</f>
        <v>1065954626585993216</v>
      </c>
      <c r="F78" s="14" t="s">
        <v>597</v>
      </c>
      <c r="G78" s="11"/>
      <c r="H78" s="11"/>
      <c r="I78" s="12">
        <v>0</v>
      </c>
      <c r="J78" s="12">
        <v>1</v>
      </c>
      <c r="K78" s="13" t="str">
        <f>HYPERLINK("http://twitter.com/download/android","Twitter for Android")</f>
        <v>Twitter for Android</v>
      </c>
      <c r="L78" s="12">
        <v>3804</v>
      </c>
      <c r="M78" s="12">
        <v>3704</v>
      </c>
      <c r="N78" s="12">
        <v>18</v>
      </c>
      <c r="O78" s="15"/>
      <c r="P78" s="6">
        <v>41280.627222222218</v>
      </c>
      <c r="Q78" s="16" t="s">
        <v>598</v>
      </c>
      <c r="R78" s="17" t="s">
        <v>599</v>
      </c>
      <c r="S78" s="11"/>
      <c r="T78" s="11"/>
      <c r="U78" s="10" t="str">
        <f>HYPERLINK("https://pbs.twimg.com/profile_images/971680530927443968/MT1JYgQw.jpg","View")</f>
        <v>View</v>
      </c>
    </row>
    <row r="79" spans="1:21" ht="51">
      <c r="A79" s="6">
        <v>43427.210405092592</v>
      </c>
      <c r="B79" s="7" t="str">
        <f>HYPERLINK("https://twitter.com/zorocotroco1","@zorocotroco1")</f>
        <v>@zorocotroco1</v>
      </c>
      <c r="C79" s="8" t="s">
        <v>602</v>
      </c>
      <c r="D79" s="9" t="s">
        <v>603</v>
      </c>
      <c r="E79" s="10" t="str">
        <f>HYPERLINK("https://twitter.com/zorocotroco1/status/1065953859082821632","1065953859082821632")</f>
        <v>1065953859082821632</v>
      </c>
      <c r="F79" s="11"/>
      <c r="G79" s="11"/>
      <c r="H79" s="11"/>
      <c r="I79" s="12">
        <v>0</v>
      </c>
      <c r="J79" s="12">
        <v>0</v>
      </c>
      <c r="K79" s="13" t="str">
        <f>HYPERLINK("http://twitter.com/#!/download/ipad","Twitter for iPad")</f>
        <v>Twitter for iPad</v>
      </c>
      <c r="L79" s="12">
        <v>125</v>
      </c>
      <c r="M79" s="12">
        <v>184</v>
      </c>
      <c r="N79" s="12">
        <v>0</v>
      </c>
      <c r="O79" s="15"/>
      <c r="P79" s="6">
        <v>43017.192650462966</v>
      </c>
      <c r="Q79" s="16" t="s">
        <v>606</v>
      </c>
      <c r="R79" s="17" t="s">
        <v>608</v>
      </c>
      <c r="S79" s="11"/>
      <c r="T79" s="11"/>
      <c r="U79" s="10" t="str">
        <f>HYPERLINK("https://pbs.twimg.com/profile_images/1055101759495065601/BZNejH87.jpg","View")</f>
        <v>View</v>
      </c>
    </row>
    <row r="80" spans="1:21" ht="81.599999999999994">
      <c r="A80" s="6">
        <v>43427.208495370374</v>
      </c>
      <c r="B80" s="7" t="str">
        <f>HYPERLINK("https://twitter.com/gascuenha","@gascuenha")</f>
        <v>@gascuenha</v>
      </c>
      <c r="C80" s="8" t="s">
        <v>270</v>
      </c>
      <c r="D80" s="9" t="s">
        <v>271</v>
      </c>
      <c r="E80" s="10" t="str">
        <f>HYPERLINK("https://twitter.com/gascuenha/status/1065953169077866496","1065953169077866496")</f>
        <v>1065953169077866496</v>
      </c>
      <c r="F80" s="16" t="s">
        <v>273</v>
      </c>
      <c r="G80" s="14" t="s">
        <v>275</v>
      </c>
      <c r="H80" s="11"/>
      <c r="I80" s="12">
        <v>0</v>
      </c>
      <c r="J80" s="12">
        <v>0</v>
      </c>
      <c r="K80" s="13" t="str">
        <f>HYPERLINK("http://twitter.com/download/iphone","Twitter for iPhone")</f>
        <v>Twitter for iPhone</v>
      </c>
      <c r="L80" s="12">
        <v>1224</v>
      </c>
      <c r="M80" s="12">
        <v>1764</v>
      </c>
      <c r="N80" s="12">
        <v>22</v>
      </c>
      <c r="O80" s="15"/>
      <c r="P80" s="6">
        <v>40567.377233796295</v>
      </c>
      <c r="Q80" s="16" t="s">
        <v>276</v>
      </c>
      <c r="R80" s="17" t="s">
        <v>277</v>
      </c>
      <c r="S80" s="11"/>
      <c r="T80" s="11"/>
      <c r="U80" s="10" t="str">
        <f>HYPERLINK("https://pbs.twimg.com/profile_images/1052998090075136002/x7sQYwyG.jpg","View")</f>
        <v>View</v>
      </c>
    </row>
    <row r="81" spans="1:21" ht="20.399999999999999">
      <c r="A81" s="6">
        <v>43427.207442129627</v>
      </c>
      <c r="B81" s="7" t="str">
        <f>HYPERLINK("https://twitter.com/RadarMaracay","@RadarMaracay")</f>
        <v>@RadarMaracay</v>
      </c>
      <c r="C81" s="8" t="s">
        <v>616</v>
      </c>
      <c r="D81" s="9" t="s">
        <v>111</v>
      </c>
      <c r="E81" s="10" t="str">
        <f>HYPERLINK("https://twitter.com/RadarMaracay/status/1065952784934146049","1065952784934146049")</f>
        <v>1065952784934146049</v>
      </c>
      <c r="F81" s="14" t="s">
        <v>337</v>
      </c>
      <c r="G81" s="11"/>
      <c r="H81" s="11"/>
      <c r="I81" s="12">
        <v>0</v>
      </c>
      <c r="J81" s="12">
        <v>0</v>
      </c>
      <c r="K81" s="13" t="str">
        <f>HYPERLINK("https://ifttt.com","IFTTT")</f>
        <v>IFTTT</v>
      </c>
      <c r="L81" s="12">
        <v>414</v>
      </c>
      <c r="M81" s="12">
        <v>392</v>
      </c>
      <c r="N81" s="12">
        <v>1</v>
      </c>
      <c r="O81" s="15"/>
      <c r="P81" s="6">
        <v>42847.860775462963</v>
      </c>
      <c r="Q81" s="16" t="s">
        <v>620</v>
      </c>
      <c r="R81" s="17" t="s">
        <v>621</v>
      </c>
      <c r="S81" s="11"/>
      <c r="T81" s="11"/>
      <c r="U81" s="10" t="str">
        <f>HYPERLINK("https://pbs.twimg.com/profile_images/873615946396651522/mpk7NGY3.jpg","View")</f>
        <v>View</v>
      </c>
    </row>
    <row r="82" spans="1:21" ht="20.399999999999999">
      <c r="A82" s="6">
        <v>43427.206875000003</v>
      </c>
      <c r="B82" s="7" t="str">
        <f>HYPERLINK("https://twitter.com/alav2012","@alav2012")</f>
        <v>@alav2012</v>
      </c>
      <c r="C82" s="8" t="s">
        <v>624</v>
      </c>
      <c r="D82" s="9" t="s">
        <v>625</v>
      </c>
      <c r="E82" s="10" t="str">
        <f>HYPERLINK("https://twitter.com/alav2012/status/1065952583100047360","1065952583100047360")</f>
        <v>1065952583100047360</v>
      </c>
      <c r="F82" s="14" t="s">
        <v>255</v>
      </c>
      <c r="G82" s="11"/>
      <c r="H82" s="11"/>
      <c r="I82" s="12">
        <v>0</v>
      </c>
      <c r="J82" s="12">
        <v>0</v>
      </c>
      <c r="K82" s="13" t="str">
        <f t="shared" ref="K82:K83" si="11">HYPERLINK("http://twitter.com/download/android","Twitter for Android")</f>
        <v>Twitter for Android</v>
      </c>
      <c r="L82" s="12">
        <v>13074</v>
      </c>
      <c r="M82" s="12">
        <v>13760</v>
      </c>
      <c r="N82" s="12">
        <v>24</v>
      </c>
      <c r="O82" s="15"/>
      <c r="P82" s="6">
        <v>41251.639976851853</v>
      </c>
      <c r="Q82" s="16" t="s">
        <v>628</v>
      </c>
      <c r="R82" s="19"/>
      <c r="S82" s="11"/>
      <c r="T82" s="11"/>
      <c r="U82" s="10" t="str">
        <f>HYPERLINK("https://pbs.twimg.com/profile_images/2953608355/4490ac1b835f73e3cd80ddf8d395257b.jpeg","View")</f>
        <v>View</v>
      </c>
    </row>
    <row r="83" spans="1:21" ht="30.6">
      <c r="A83" s="6">
        <v>43427.206782407404</v>
      </c>
      <c r="B83" s="7" t="str">
        <f>HYPERLINK("https://twitter.com/TeresaColl1","@TeresaColl1")</f>
        <v>@TeresaColl1</v>
      </c>
      <c r="C83" s="8" t="s">
        <v>629</v>
      </c>
      <c r="D83" s="9" t="s">
        <v>630</v>
      </c>
      <c r="E83" s="10" t="str">
        <f>HYPERLINK("https://twitter.com/TeresaColl1/status/1065952546462814208","1065952546462814208")</f>
        <v>1065952546462814208</v>
      </c>
      <c r="F83" s="14" t="s">
        <v>633</v>
      </c>
      <c r="G83" s="11"/>
      <c r="H83" s="11"/>
      <c r="I83" s="12">
        <v>0</v>
      </c>
      <c r="J83" s="12">
        <v>0</v>
      </c>
      <c r="K83" s="13" t="str">
        <f t="shared" si="11"/>
        <v>Twitter for Android</v>
      </c>
      <c r="L83" s="12">
        <v>4344</v>
      </c>
      <c r="M83" s="12">
        <v>4285</v>
      </c>
      <c r="N83" s="12">
        <v>37</v>
      </c>
      <c r="O83" s="15"/>
      <c r="P83" s="6">
        <v>41194.447488425925</v>
      </c>
      <c r="Q83" s="16" t="s">
        <v>388</v>
      </c>
      <c r="R83" s="17" t="s">
        <v>636</v>
      </c>
      <c r="S83" s="11"/>
      <c r="T83" s="11"/>
      <c r="U83" s="10" t="str">
        <f>HYPERLINK("https://pbs.twimg.com/profile_images/457537422218117120/Pa6k7rsP.png","View")</f>
        <v>View</v>
      </c>
    </row>
    <row r="84" spans="1:21" ht="91.8">
      <c r="A84" s="6">
        <v>43427.203819444447</v>
      </c>
      <c r="B84" s="7" t="str">
        <f>HYPERLINK("https://twitter.com/usingneurons","@usingneurons")</f>
        <v>@usingneurons</v>
      </c>
      <c r="C84" s="8" t="s">
        <v>280</v>
      </c>
      <c r="D84" s="9" t="s">
        <v>281</v>
      </c>
      <c r="E84" s="10" t="str">
        <f>HYPERLINK("https://twitter.com/usingneurons/status/1065951473735847936","1065951473735847936")</f>
        <v>1065951473735847936</v>
      </c>
      <c r="F84" s="16" t="s">
        <v>282</v>
      </c>
      <c r="G84" s="14" t="s">
        <v>284</v>
      </c>
      <c r="H84" s="11"/>
      <c r="I84" s="12">
        <v>0</v>
      </c>
      <c r="J84" s="12">
        <v>0</v>
      </c>
      <c r="K84" s="13" t="str">
        <f>HYPERLINK("http://twitter.com","Twitter Web Client")</f>
        <v>Twitter Web Client</v>
      </c>
      <c r="L84" s="12">
        <v>924</v>
      </c>
      <c r="M84" s="12">
        <v>894</v>
      </c>
      <c r="N84" s="12">
        <v>21</v>
      </c>
      <c r="O84" s="15"/>
      <c r="P84" s="6">
        <v>41781.407407407409</v>
      </c>
      <c r="Q84" s="11"/>
      <c r="R84" s="17" t="s">
        <v>286</v>
      </c>
      <c r="S84" s="11"/>
      <c r="T84" s="11"/>
      <c r="U84" s="10" t="str">
        <f>HYPERLINK("https://pbs.twimg.com/profile_images/497787841733066752/jnJEf2Rm.jpeg","View")</f>
        <v>View</v>
      </c>
    </row>
    <row r="85" spans="1:21" ht="30.6">
      <c r="A85" s="6">
        <v>43427.203171296293</v>
      </c>
      <c r="B85" s="7" t="str">
        <f>HYPERLINK("https://twitter.com/josegarmolina","@josegarmolina")</f>
        <v>@josegarmolina</v>
      </c>
      <c r="C85" s="8" t="s">
        <v>47</v>
      </c>
      <c r="D85" s="9" t="s">
        <v>644</v>
      </c>
      <c r="E85" s="10" t="str">
        <f>HYPERLINK("https://twitter.com/josegarmolina/status/1065951241279283200","1065951241279283200")</f>
        <v>1065951241279283200</v>
      </c>
      <c r="F85" s="14" t="s">
        <v>559</v>
      </c>
      <c r="G85" s="11"/>
      <c r="H85" s="11"/>
      <c r="I85" s="12">
        <v>4</v>
      </c>
      <c r="J85" s="12">
        <v>2</v>
      </c>
      <c r="K85" s="13" t="str">
        <f>HYPERLINK("http://twitter.com/download/iphone","Twitter for iPhone")</f>
        <v>Twitter for iPhone</v>
      </c>
      <c r="L85" s="12">
        <v>9271</v>
      </c>
      <c r="M85" s="12">
        <v>1103</v>
      </c>
      <c r="N85" s="12">
        <v>85</v>
      </c>
      <c r="O85" s="18" t="s">
        <v>52</v>
      </c>
      <c r="P85" s="6">
        <v>41788.301655092597</v>
      </c>
      <c r="Q85" s="16" t="s">
        <v>53</v>
      </c>
      <c r="R85" s="17" t="s">
        <v>55</v>
      </c>
      <c r="S85" s="14" t="s">
        <v>57</v>
      </c>
      <c r="T85" s="11"/>
      <c r="U85" s="10" t="str">
        <f>HYPERLINK("https://pbs.twimg.com/profile_images/1053014044280586240/6gShSiJQ.jpg","View")</f>
        <v>View</v>
      </c>
    </row>
    <row r="86" spans="1:21" ht="51">
      <c r="A86" s="6">
        <v>43427.201817129629</v>
      </c>
      <c r="B86" s="7" t="str">
        <f>HYPERLINK("https://twitter.com/PodemosIglesias","@PodemosIglesias")</f>
        <v>@PodemosIglesias</v>
      </c>
      <c r="C86" s="8" t="s">
        <v>650</v>
      </c>
      <c r="D86" s="9" t="s">
        <v>652</v>
      </c>
      <c r="E86" s="10" t="str">
        <f>HYPERLINK("https://twitter.com/PodemosIglesias/status/1065950750285725697","1065950750285725697")</f>
        <v>1065950750285725697</v>
      </c>
      <c r="F86" s="11"/>
      <c r="G86" s="14" t="s">
        <v>298</v>
      </c>
      <c r="H86" s="11"/>
      <c r="I86" s="12">
        <v>0</v>
      </c>
      <c r="J86" s="12">
        <v>0</v>
      </c>
      <c r="K86" s="13" t="str">
        <f>HYPERLINK("https://ifttt.com","IFTTT")</f>
        <v>IFTTT</v>
      </c>
      <c r="L86" s="12">
        <v>264</v>
      </c>
      <c r="M86" s="12">
        <v>1242</v>
      </c>
      <c r="N86" s="12">
        <v>0</v>
      </c>
      <c r="O86" s="15"/>
      <c r="P86" s="6">
        <v>42653.054236111115</v>
      </c>
      <c r="Q86" s="11"/>
      <c r="R86" s="19"/>
      <c r="S86" s="11"/>
      <c r="T86" s="11"/>
      <c r="U86" s="10" t="str">
        <f>HYPERLINK("https://pbs.twimg.com/profile_images/829046720252239872/piWNgEa2.jpg","View")</f>
        <v>View</v>
      </c>
    </row>
    <row r="87" spans="1:21" ht="40.799999999999997">
      <c r="A87" s="6">
        <v>43427.201643518521</v>
      </c>
      <c r="B87" s="7" t="str">
        <f>HYPERLINK("https://twitter.com/memolaelfunk","@memolaelfunk")</f>
        <v>@memolaelfunk</v>
      </c>
      <c r="C87" s="8" t="s">
        <v>287</v>
      </c>
      <c r="D87" s="9" t="s">
        <v>288</v>
      </c>
      <c r="E87" s="10" t="str">
        <f>HYPERLINK("https://twitter.com/memolaelfunk/status/1065950685890519041","1065950685890519041")</f>
        <v>1065950685890519041</v>
      </c>
      <c r="F87" s="14" t="s">
        <v>289</v>
      </c>
      <c r="G87" s="11"/>
      <c r="H87" s="11"/>
      <c r="I87" s="12">
        <v>0</v>
      </c>
      <c r="J87" s="12">
        <v>0</v>
      </c>
      <c r="K87" s="13" t="str">
        <f t="shared" ref="K87:K88" si="12">HYPERLINK("http://twitter.com/download/android","Twitter for Android")</f>
        <v>Twitter for Android</v>
      </c>
      <c r="L87" s="12">
        <v>70</v>
      </c>
      <c r="M87" s="12">
        <v>400</v>
      </c>
      <c r="N87" s="12">
        <v>1</v>
      </c>
      <c r="O87" s="15"/>
      <c r="P87" s="6">
        <v>43329.032210648147</v>
      </c>
      <c r="Q87" s="16" t="s">
        <v>292</v>
      </c>
      <c r="R87" s="17" t="s">
        <v>293</v>
      </c>
      <c r="S87" s="11"/>
      <c r="T87" s="11"/>
      <c r="U87" s="10" t="str">
        <f>HYPERLINK("https://pbs.twimg.com/profile_images/1060213471202152449/dPxSZEns.jpg","View")</f>
        <v>View</v>
      </c>
    </row>
    <row r="88" spans="1:21" ht="51">
      <c r="A88" s="6">
        <v>43427.201377314814</v>
      </c>
      <c r="B88" s="7" t="str">
        <f>HYPERLINK("https://twitter.com/PodemosSevilla","@PodemosSevilla")</f>
        <v>@PodemosSevilla</v>
      </c>
      <c r="C88" s="8" t="s">
        <v>294</v>
      </c>
      <c r="D88" s="9" t="s">
        <v>295</v>
      </c>
      <c r="E88" s="10" t="str">
        <f>HYPERLINK("https://twitter.com/PodemosSevilla/status/1065950587899047936","1065950587899047936")</f>
        <v>1065950587899047936</v>
      </c>
      <c r="F88" s="14" t="s">
        <v>141</v>
      </c>
      <c r="G88" s="14" t="s">
        <v>298</v>
      </c>
      <c r="H88" s="11"/>
      <c r="I88" s="12">
        <v>4</v>
      </c>
      <c r="J88" s="12">
        <v>5</v>
      </c>
      <c r="K88" s="13" t="str">
        <f t="shared" si="12"/>
        <v>Twitter for Android</v>
      </c>
      <c r="L88" s="12">
        <v>13753</v>
      </c>
      <c r="M88" s="12">
        <v>650</v>
      </c>
      <c r="N88" s="12">
        <v>182</v>
      </c>
      <c r="O88" s="15"/>
      <c r="P88" s="6">
        <v>41658.598819444444</v>
      </c>
      <c r="Q88" s="16" t="s">
        <v>132</v>
      </c>
      <c r="R88" s="17" t="s">
        <v>301</v>
      </c>
      <c r="S88" s="14" t="s">
        <v>302</v>
      </c>
      <c r="T88" s="11"/>
      <c r="U88" s="10" t="str">
        <f>HYPERLINK("https://pbs.twimg.com/profile_images/1055008648873889792/giY-q6C3.jpg","View")</f>
        <v>View</v>
      </c>
    </row>
    <row r="89" spans="1:21" ht="30.6">
      <c r="A89" s="6">
        <v>43427.201053240744</v>
      </c>
      <c r="B89" s="7" t="str">
        <f>HYPERLINK("https://twitter.com/RadarGuarico","@RadarGuarico")</f>
        <v>@RadarGuarico</v>
      </c>
      <c r="C89" s="8" t="s">
        <v>665</v>
      </c>
      <c r="D89" s="9" t="s">
        <v>111</v>
      </c>
      <c r="E89" s="10" t="str">
        <f>HYPERLINK("https://twitter.com/RadarGuarico/status/1065950472933126144","1065950472933126144")</f>
        <v>1065950472933126144</v>
      </c>
      <c r="F89" s="14" t="s">
        <v>337</v>
      </c>
      <c r="G89" s="11"/>
      <c r="H89" s="11"/>
      <c r="I89" s="12">
        <v>0</v>
      </c>
      <c r="J89" s="12">
        <v>0</v>
      </c>
      <c r="K89" s="13" t="str">
        <f>HYPERLINK("https://ifttt.com","IFTTT")</f>
        <v>IFTTT</v>
      </c>
      <c r="L89" s="12">
        <v>92</v>
      </c>
      <c r="M89" s="12">
        <v>120</v>
      </c>
      <c r="N89" s="12">
        <v>0</v>
      </c>
      <c r="O89" s="15"/>
      <c r="P89" s="6">
        <v>42813.820509259254</v>
      </c>
      <c r="Q89" s="16" t="s">
        <v>668</v>
      </c>
      <c r="R89" s="17" t="s">
        <v>669</v>
      </c>
      <c r="S89" s="11"/>
      <c r="T89" s="11"/>
      <c r="U89" s="10" t="str">
        <f>HYPERLINK("https://pbs.twimg.com/profile_images/1033905986203996160/OlBJMQsg.jpg","View")</f>
        <v>View</v>
      </c>
    </row>
    <row r="90" spans="1:21" ht="40.799999999999997">
      <c r="A90" s="6">
        <v>43427.200706018513</v>
      </c>
      <c r="B90" s="7" t="str">
        <f>HYPERLINK("https://twitter.com/kodiario_","@kodiario_")</f>
        <v>@kodiario_</v>
      </c>
      <c r="C90" s="8" t="s">
        <v>672</v>
      </c>
      <c r="D90" s="9" t="s">
        <v>673</v>
      </c>
      <c r="E90" s="10" t="str">
        <f>HYPERLINK("https://twitter.com/kodiario_/status/1065950347615715328","1065950347615715328")</f>
        <v>1065950347615715328</v>
      </c>
      <c r="F90" s="14" t="s">
        <v>674</v>
      </c>
      <c r="G90" s="11"/>
      <c r="H90" s="11"/>
      <c r="I90" s="12">
        <v>0</v>
      </c>
      <c r="J90" s="12">
        <v>2</v>
      </c>
      <c r="K90" s="13" t="str">
        <f>HYPERLINK("http://twitter.com/download/android","Twitter for Android")</f>
        <v>Twitter for Android</v>
      </c>
      <c r="L90" s="12">
        <v>4595</v>
      </c>
      <c r="M90" s="12">
        <v>322</v>
      </c>
      <c r="N90" s="12">
        <v>55</v>
      </c>
      <c r="O90" s="15"/>
      <c r="P90" s="6">
        <v>42563.678425925929</v>
      </c>
      <c r="Q90" s="11"/>
      <c r="R90" s="17" t="s">
        <v>675</v>
      </c>
      <c r="S90" s="11"/>
      <c r="T90" s="11"/>
      <c r="U90" s="10" t="str">
        <f>HYPERLINK("https://pbs.twimg.com/profile_images/977352060571148288/z2lxbv4P.jpg","View")</f>
        <v>View</v>
      </c>
    </row>
    <row r="91" spans="1:21" ht="30.6">
      <c r="A91" s="6">
        <v>43427.199999999997</v>
      </c>
      <c r="B91" s="7" t="str">
        <f>HYPERLINK("https://twitter.com/ElCascabelTRECE","@ElCascabelTRECE")</f>
        <v>@ElCascabelTRECE</v>
      </c>
      <c r="C91" s="8" t="s">
        <v>305</v>
      </c>
      <c r="D91" s="9" t="s">
        <v>306</v>
      </c>
      <c r="E91" s="10" t="str">
        <f>HYPERLINK("https://twitter.com/ElCascabelTRECE/status/1065950089313583106","1065950089313583106")</f>
        <v>1065950089313583106</v>
      </c>
      <c r="F91" s="14" t="s">
        <v>307</v>
      </c>
      <c r="G91" s="14" t="s">
        <v>308</v>
      </c>
      <c r="H91" s="11"/>
      <c r="I91" s="12">
        <v>0</v>
      </c>
      <c r="J91" s="12">
        <v>1</v>
      </c>
      <c r="K91" s="13" t="str">
        <f>HYPERLINK("https://about.twitter.com/products/tweetdeck","TweetDeck")</f>
        <v>TweetDeck</v>
      </c>
      <c r="L91" s="12">
        <v>61533</v>
      </c>
      <c r="M91" s="12">
        <v>244</v>
      </c>
      <c r="N91" s="12">
        <v>461</v>
      </c>
      <c r="O91" s="18" t="s">
        <v>52</v>
      </c>
      <c r="P91" s="6">
        <v>41306.425115740742</v>
      </c>
      <c r="Q91" s="11"/>
      <c r="R91" s="17" t="s">
        <v>310</v>
      </c>
      <c r="S91" s="14" t="s">
        <v>311</v>
      </c>
      <c r="T91" s="11"/>
      <c r="U91" s="10" t="str">
        <f>HYPERLINK("https://pbs.twimg.com/profile_images/1038023153900052480/-k-n1Efd.jpg","View")</f>
        <v>View</v>
      </c>
    </row>
    <row r="92" spans="1:21" ht="20.399999999999999">
      <c r="A92" s="6">
        <v>43427.199849537035</v>
      </c>
      <c r="B92" s="7" t="str">
        <f>HYPERLINK("https://twitter.com/niquinchan","@niquinchan")</f>
        <v>@niquinchan</v>
      </c>
      <c r="C92" s="8" t="s">
        <v>684</v>
      </c>
      <c r="D92" s="9" t="s">
        <v>685</v>
      </c>
      <c r="E92" s="10" t="str">
        <f>HYPERLINK("https://twitter.com/niquinchan/status/1065950034800332800","1065950034800332800")</f>
        <v>1065950034800332800</v>
      </c>
      <c r="F92" s="14" t="s">
        <v>686</v>
      </c>
      <c r="G92" s="11"/>
      <c r="H92" s="11"/>
      <c r="I92" s="12">
        <v>0</v>
      </c>
      <c r="J92" s="12">
        <v>0</v>
      </c>
      <c r="K92" s="13" t="str">
        <f t="shared" ref="K92:K93" si="13">HYPERLINK("http://twitter.com/download/iphone","Twitter for iPhone")</f>
        <v>Twitter for iPhone</v>
      </c>
      <c r="L92" s="12">
        <v>221</v>
      </c>
      <c r="M92" s="12">
        <v>525</v>
      </c>
      <c r="N92" s="12">
        <v>1</v>
      </c>
      <c r="O92" s="15"/>
      <c r="P92" s="6">
        <v>39969.548946759256</v>
      </c>
      <c r="Q92" s="11"/>
      <c r="R92" s="19"/>
      <c r="S92" s="14" t="s">
        <v>687</v>
      </c>
      <c r="T92" s="11"/>
      <c r="U92" s="10" t="str">
        <f>HYPERLINK("https://pbs.twimg.com/profile_images/1057700142688690177/AdH6EoqX.jpg","View")</f>
        <v>View</v>
      </c>
    </row>
    <row r="93" spans="1:21" ht="30.6">
      <c r="A93" s="6">
        <v>43427.19666666667</v>
      </c>
      <c r="B93" s="7" t="str">
        <f>HYPERLINK("https://twitter.com/Barsine15","@Barsine15")</f>
        <v>@Barsine15</v>
      </c>
      <c r="C93" s="8" t="s">
        <v>312</v>
      </c>
      <c r="D93" s="9" t="s">
        <v>313</v>
      </c>
      <c r="E93" s="10" t="str">
        <f>HYPERLINK("https://twitter.com/Barsine15/status/1065948881794539520","1065948881794539520")</f>
        <v>1065948881794539520</v>
      </c>
      <c r="F93" s="14" t="s">
        <v>314</v>
      </c>
      <c r="G93" s="11"/>
      <c r="H93" s="11"/>
      <c r="I93" s="12">
        <v>0</v>
      </c>
      <c r="J93" s="12">
        <v>0</v>
      </c>
      <c r="K93" s="13" t="str">
        <f t="shared" si="13"/>
        <v>Twitter for iPhone</v>
      </c>
      <c r="L93" s="12">
        <v>157</v>
      </c>
      <c r="M93" s="12">
        <v>56</v>
      </c>
      <c r="N93" s="12">
        <v>1</v>
      </c>
      <c r="O93" s="15"/>
      <c r="P93" s="6">
        <v>42578.276944444442</v>
      </c>
      <c r="Q93" s="11"/>
      <c r="R93" s="19"/>
      <c r="S93" s="11"/>
      <c r="T93" s="11"/>
      <c r="U93" s="10" t="str">
        <f>HYPERLINK("https://pbs.twimg.com/profile_images/954384363113807872/MIZNvs1H.jpg","View")</f>
        <v>View</v>
      </c>
    </row>
    <row r="94" spans="1:21" ht="30.6">
      <c r="A94" s="6">
        <v>43427.196469907409</v>
      </c>
      <c r="B94" s="7" t="str">
        <f>HYPERLINK("https://twitter.com/Araocon","@Araocon")</f>
        <v>@Araocon</v>
      </c>
      <c r="C94" s="8" t="s">
        <v>697</v>
      </c>
      <c r="D94" s="9" t="s">
        <v>698</v>
      </c>
      <c r="E94" s="10" t="str">
        <f>HYPERLINK("https://twitter.com/Araocon/status/1065948812521472000","1065948812521472000")</f>
        <v>1065948812521472000</v>
      </c>
      <c r="F94" s="14" t="s">
        <v>255</v>
      </c>
      <c r="G94" s="11"/>
      <c r="H94" s="11"/>
      <c r="I94" s="12">
        <v>0</v>
      </c>
      <c r="J94" s="12">
        <v>0</v>
      </c>
      <c r="K94" s="13" t="str">
        <f t="shared" ref="K94:K95" si="14">HYPERLINK("http://twitter.com/download/android","Twitter for Android")</f>
        <v>Twitter for Android</v>
      </c>
      <c r="L94" s="12">
        <v>1459</v>
      </c>
      <c r="M94" s="12">
        <v>2234</v>
      </c>
      <c r="N94" s="12">
        <v>18</v>
      </c>
      <c r="O94" s="15"/>
      <c r="P94" s="6">
        <v>42489.506041666667</v>
      </c>
      <c r="Q94" s="16" t="s">
        <v>702</v>
      </c>
      <c r="R94" s="17" t="s">
        <v>703</v>
      </c>
      <c r="S94" s="11"/>
      <c r="T94" s="11"/>
      <c r="U94" s="10" t="str">
        <f>HYPERLINK("https://pbs.twimg.com/profile_images/1063101847601328130/O6gVQdPG.jpg","View")</f>
        <v>View</v>
      </c>
    </row>
    <row r="95" spans="1:21" ht="51">
      <c r="A95" s="6">
        <v>43427.194374999999</v>
      </c>
      <c r="B95" s="7" t="str">
        <f>HYPERLINK("https://twitter.com/jrbornos1989","@jrbornos1989")</f>
        <v>@jrbornos1989</v>
      </c>
      <c r="C95" s="8" t="s">
        <v>706</v>
      </c>
      <c r="D95" s="9" t="s">
        <v>707</v>
      </c>
      <c r="E95" s="10" t="str">
        <f>HYPERLINK("https://twitter.com/jrbornos1989/status/1065948053587329029","1065948053587329029")</f>
        <v>1065948053587329029</v>
      </c>
      <c r="F95" s="11"/>
      <c r="G95" s="11"/>
      <c r="H95" s="11"/>
      <c r="I95" s="12">
        <v>0</v>
      </c>
      <c r="J95" s="12">
        <v>0</v>
      </c>
      <c r="K95" s="13" t="str">
        <f t="shared" si="14"/>
        <v>Twitter for Android</v>
      </c>
      <c r="L95" s="12">
        <v>29</v>
      </c>
      <c r="M95" s="12">
        <v>206</v>
      </c>
      <c r="N95" s="12">
        <v>0</v>
      </c>
      <c r="O95" s="15"/>
      <c r="P95" s="6">
        <v>42488.431655092594</v>
      </c>
      <c r="Q95" s="11"/>
      <c r="R95" s="19"/>
      <c r="S95" s="11"/>
      <c r="T95" s="11"/>
      <c r="U95" s="10" t="str">
        <f>HYPERLINK("https://pbs.twimg.com/profile_images/725737676150837249/K7WR8rh7.jpg","View")</f>
        <v>View</v>
      </c>
    </row>
    <row r="96" spans="1:21" ht="40.799999999999997">
      <c r="A96" s="6">
        <v>43427.194131944445</v>
      </c>
      <c r="B96" s="7" t="str">
        <f>HYPERLINK("https://twitter.com/jcarloslh","@jcarloslh")</f>
        <v>@jcarloslh</v>
      </c>
      <c r="C96" s="8" t="s">
        <v>712</v>
      </c>
      <c r="D96" s="9" t="s">
        <v>714</v>
      </c>
      <c r="E96" s="10" t="str">
        <f>HYPERLINK("https://twitter.com/jcarloslh/status/1065947963330039809","1065947963330039809")</f>
        <v>1065947963330039809</v>
      </c>
      <c r="F96" s="14" t="s">
        <v>716</v>
      </c>
      <c r="G96" s="11"/>
      <c r="H96" s="11"/>
      <c r="I96" s="12">
        <v>0</v>
      </c>
      <c r="J96" s="12">
        <v>0</v>
      </c>
      <c r="K96" s="13" t="str">
        <f>HYPERLINK("http://www.facebook.com/twitter","Facebook")</f>
        <v>Facebook</v>
      </c>
      <c r="L96" s="12">
        <v>186</v>
      </c>
      <c r="M96" s="12">
        <v>190</v>
      </c>
      <c r="N96" s="12">
        <v>9</v>
      </c>
      <c r="O96" s="15"/>
      <c r="P96" s="6">
        <v>40433.54041666667</v>
      </c>
      <c r="Q96" s="16" t="s">
        <v>28</v>
      </c>
      <c r="R96" s="19"/>
      <c r="S96" s="11"/>
      <c r="T96" s="11"/>
      <c r="U96" s="10" t="str">
        <f>HYPERLINK("https://pbs.twimg.com/profile_images/3399813895/ffa75fdcb08baf5251d475f9fca4c818.jpeg","View")</f>
        <v>View</v>
      </c>
    </row>
    <row r="97" spans="1:21" ht="51">
      <c r="A97" s="6">
        <v>43427.193472222221</v>
      </c>
      <c r="B97" s="7" t="str">
        <f>HYPERLINK("https://twitter.com/UP_Cadiz","@UP_Cadiz")</f>
        <v>@UP_Cadiz</v>
      </c>
      <c r="C97" s="8" t="s">
        <v>316</v>
      </c>
      <c r="D97" s="9" t="s">
        <v>317</v>
      </c>
      <c r="E97" s="10" t="str">
        <f>HYPERLINK("https://twitter.com/UP_Cadiz/status/1065947723030044672","1065947723030044672")</f>
        <v>1065947723030044672</v>
      </c>
      <c r="F97" s="14" t="s">
        <v>319</v>
      </c>
      <c r="G97" s="11"/>
      <c r="H97" s="11"/>
      <c r="I97" s="12">
        <v>3</v>
      </c>
      <c r="J97" s="12">
        <v>0</v>
      </c>
      <c r="K97" s="13" t="str">
        <f>HYPERLINK("http://twitter.com/download/android","Twitter for Android")</f>
        <v>Twitter for Android</v>
      </c>
      <c r="L97" s="12">
        <v>652</v>
      </c>
      <c r="M97" s="12">
        <v>522</v>
      </c>
      <c r="N97" s="12">
        <v>17</v>
      </c>
      <c r="O97" s="15"/>
      <c r="P97" s="6">
        <v>42198.351006944446</v>
      </c>
      <c r="Q97" s="16" t="s">
        <v>320</v>
      </c>
      <c r="R97" s="17" t="s">
        <v>321</v>
      </c>
      <c r="S97" s="14" t="s">
        <v>322</v>
      </c>
      <c r="T97" s="11"/>
      <c r="U97" s="10" t="str">
        <f>HYPERLINK("https://pbs.twimg.com/profile_images/1023094159140446209/3mzilCvM.jpg","View")</f>
        <v>View</v>
      </c>
    </row>
    <row r="98" spans="1:21" ht="51">
      <c r="A98" s="6">
        <v>43427.192858796298</v>
      </c>
      <c r="B98" s="7" t="str">
        <f>HYPERLINK("https://twitter.com/tatarlak","@tatarlak")</f>
        <v>@tatarlak</v>
      </c>
      <c r="C98" s="8" t="s">
        <v>327</v>
      </c>
      <c r="D98" s="21" t="s">
        <v>328</v>
      </c>
      <c r="E98" s="10" t="str">
        <f>HYPERLINK("https://twitter.com/tatarlak/status/1065947501709152258","1065947501709152258")</f>
        <v>1065947501709152258</v>
      </c>
      <c r="F98" s="14" t="s">
        <v>331</v>
      </c>
      <c r="G98" s="11"/>
      <c r="H98" s="11"/>
      <c r="I98" s="12">
        <v>0</v>
      </c>
      <c r="J98" s="12">
        <v>0</v>
      </c>
      <c r="K98" s="13" t="str">
        <f t="shared" ref="K98:K100" si="15">HYPERLINK("http://twitter.com","Twitter Web Client")</f>
        <v>Twitter Web Client</v>
      </c>
      <c r="L98" s="12">
        <v>3535</v>
      </c>
      <c r="M98" s="12">
        <v>4626</v>
      </c>
      <c r="N98" s="12">
        <v>173</v>
      </c>
      <c r="O98" s="15"/>
      <c r="P98" s="6">
        <v>39942.500520833331</v>
      </c>
      <c r="Q98" s="16" t="s">
        <v>332</v>
      </c>
      <c r="R98" s="17" t="s">
        <v>333</v>
      </c>
      <c r="S98" s="14" t="s">
        <v>334</v>
      </c>
      <c r="T98" s="11"/>
      <c r="U98" s="10" t="str">
        <f>HYPERLINK("https://pbs.twimg.com/profile_images/828645700825182209/EyWSNwMu.jpg","View")</f>
        <v>View</v>
      </c>
    </row>
    <row r="99" spans="1:21" ht="61.2">
      <c r="A99" s="6">
        <v>43427.192048611112</v>
      </c>
      <c r="B99" s="7" t="str">
        <f>HYPERLINK("https://twitter.com/usingneurons","@usingneurons")</f>
        <v>@usingneurons</v>
      </c>
      <c r="C99" s="8" t="s">
        <v>280</v>
      </c>
      <c r="D99" s="9" t="s">
        <v>335</v>
      </c>
      <c r="E99" s="10" t="str">
        <f>HYPERLINK("https://twitter.com/usingneurons/status/1065947210133762049","1065947210133762049")</f>
        <v>1065947210133762049</v>
      </c>
      <c r="F99" s="11"/>
      <c r="G99" s="11"/>
      <c r="H99" s="11"/>
      <c r="I99" s="12">
        <v>0</v>
      </c>
      <c r="J99" s="12">
        <v>0</v>
      </c>
      <c r="K99" s="13" t="str">
        <f t="shared" si="15"/>
        <v>Twitter Web Client</v>
      </c>
      <c r="L99" s="12">
        <v>924</v>
      </c>
      <c r="M99" s="12">
        <v>894</v>
      </c>
      <c r="N99" s="12">
        <v>21</v>
      </c>
      <c r="O99" s="15"/>
      <c r="P99" s="6">
        <v>41781.407407407409</v>
      </c>
      <c r="Q99" s="11"/>
      <c r="R99" s="17" t="s">
        <v>286</v>
      </c>
      <c r="S99" s="11"/>
      <c r="T99" s="11"/>
      <c r="U99" s="10" t="str">
        <f>HYPERLINK("https://pbs.twimg.com/profile_images/497787841733066752/jnJEf2Rm.jpeg","View")</f>
        <v>View</v>
      </c>
    </row>
    <row r="100" spans="1:21" ht="81.599999999999994">
      <c r="A100" s="6">
        <v>43427.192002314812</v>
      </c>
      <c r="B100" s="7" t="str">
        <f>HYPERLINK("https://twitter.com/sc_noc","@sc_noc")</f>
        <v>@sc_noc</v>
      </c>
      <c r="C100" s="8" t="s">
        <v>738</v>
      </c>
      <c r="D100" s="9" t="s">
        <v>739</v>
      </c>
      <c r="E100" s="10" t="str">
        <f>HYPERLINK("https://twitter.com/sc_noc/status/1065947190441508864","1065947190441508864")</f>
        <v>1065947190441508864</v>
      </c>
      <c r="F100" s="14" t="s">
        <v>742</v>
      </c>
      <c r="G100" s="11"/>
      <c r="H100" s="11"/>
      <c r="I100" s="12">
        <v>0</v>
      </c>
      <c r="J100" s="12">
        <v>1</v>
      </c>
      <c r="K100" s="13" t="str">
        <f t="shared" si="15"/>
        <v>Twitter Web Client</v>
      </c>
      <c r="L100" s="12">
        <v>76</v>
      </c>
      <c r="M100" s="12">
        <v>164</v>
      </c>
      <c r="N100" s="12">
        <v>0</v>
      </c>
      <c r="O100" s="15"/>
      <c r="P100" s="6">
        <v>43284.571064814816</v>
      </c>
      <c r="Q100" s="11"/>
      <c r="R100" s="17" t="s">
        <v>743</v>
      </c>
      <c r="S100" s="11"/>
      <c r="T100" s="11"/>
      <c r="U100" s="10" t="str">
        <f>HYPERLINK("https://pbs.twimg.com/profile_images/1028787878929879040/gnog7C-v.jpg","View")</f>
        <v>View</v>
      </c>
    </row>
    <row r="101" spans="1:21" ht="40.799999999999997">
      <c r="A101" s="6">
        <v>43427.189004629632</v>
      </c>
      <c r="B101" s="7" t="str">
        <f>HYPERLINK("https://twitter.com/balays01","@balays01")</f>
        <v>@balays01</v>
      </c>
      <c r="C101" s="8" t="s">
        <v>746</v>
      </c>
      <c r="D101" s="9" t="s">
        <v>747</v>
      </c>
      <c r="E101" s="10" t="str">
        <f>HYPERLINK("https://twitter.com/balays01/status/1065946106062913537","1065946106062913537")</f>
        <v>1065946106062913537</v>
      </c>
      <c r="F101" s="16" t="s">
        <v>750</v>
      </c>
      <c r="G101" s="11"/>
      <c r="H101" s="11"/>
      <c r="I101" s="12">
        <v>0</v>
      </c>
      <c r="J101" s="12">
        <v>1</v>
      </c>
      <c r="K101" s="13" t="str">
        <f>HYPERLINK("http://twitter.com/download/android","Twitter for Android")</f>
        <v>Twitter for Android</v>
      </c>
      <c r="L101" s="12">
        <v>135</v>
      </c>
      <c r="M101" s="12">
        <v>232</v>
      </c>
      <c r="N101" s="12">
        <v>1</v>
      </c>
      <c r="O101" s="15"/>
      <c r="P101" s="6">
        <v>42654.463749999995</v>
      </c>
      <c r="Q101" s="16" t="s">
        <v>93</v>
      </c>
      <c r="R101" s="17" t="s">
        <v>752</v>
      </c>
      <c r="S101" s="11"/>
      <c r="T101" s="11"/>
      <c r="U101" s="10" t="str">
        <f>HYPERLINK("https://pbs.twimg.com/profile_images/817128028958576641/tdZ0OAy3.jpg","View")</f>
        <v>View</v>
      </c>
    </row>
    <row r="102" spans="1:21" ht="40.799999999999997">
      <c r="A102" s="6">
        <v>43427.188449074078</v>
      </c>
      <c r="B102" s="7" t="str">
        <f>HYPERLINK("https://twitter.com/NavOckham","@NavOckham")</f>
        <v>@NavOckham</v>
      </c>
      <c r="C102" s="8" t="s">
        <v>756</v>
      </c>
      <c r="D102" s="9" t="s">
        <v>757</v>
      </c>
      <c r="E102" s="10" t="str">
        <f>HYPERLINK("https://twitter.com/NavOckham/status/1065945905445117953","1065945905445117953")</f>
        <v>1065945905445117953</v>
      </c>
      <c r="F102" s="14" t="s">
        <v>759</v>
      </c>
      <c r="G102" s="11"/>
      <c r="H102" s="11"/>
      <c r="I102" s="12">
        <v>0</v>
      </c>
      <c r="J102" s="12">
        <v>0</v>
      </c>
      <c r="K102" s="13" t="str">
        <f>HYPERLINK("http://www.facebook.com/twitter","Facebook")</f>
        <v>Facebook</v>
      </c>
      <c r="L102" s="12">
        <v>20</v>
      </c>
      <c r="M102" s="12">
        <v>151</v>
      </c>
      <c r="N102" s="12">
        <v>0</v>
      </c>
      <c r="O102" s="15"/>
      <c r="P102" s="6">
        <v>42315.001967592594</v>
      </c>
      <c r="Q102" s="16" t="s">
        <v>762</v>
      </c>
      <c r="R102" s="17" t="s">
        <v>763</v>
      </c>
      <c r="S102" s="14" t="s">
        <v>764</v>
      </c>
      <c r="T102" s="11"/>
      <c r="U102" s="10" t="str">
        <f>HYPERLINK("https://pbs.twimg.com/profile_images/824336306318745600/RD-rO-PK.jpg","View")</f>
        <v>View</v>
      </c>
    </row>
    <row r="103" spans="1:21" ht="40.799999999999997">
      <c r="A103" s="6">
        <v>43427.187256944446</v>
      </c>
      <c r="B103" s="7" t="str">
        <f>HYPERLINK("https://twitter.com/lizostrotos","@lizostrotos")</f>
        <v>@lizostrotos</v>
      </c>
      <c r="C103" s="8" t="s">
        <v>766</v>
      </c>
      <c r="D103" s="9" t="s">
        <v>768</v>
      </c>
      <c r="E103" s="10" t="str">
        <f>HYPERLINK("https://twitter.com/lizostrotos/status/1065945470411948033","1065945470411948033")</f>
        <v>1065945470411948033</v>
      </c>
      <c r="F103" s="14" t="s">
        <v>529</v>
      </c>
      <c r="G103" s="11"/>
      <c r="H103" s="11"/>
      <c r="I103" s="12">
        <v>0</v>
      </c>
      <c r="J103" s="12">
        <v>0</v>
      </c>
      <c r="K103" s="13" t="str">
        <f>HYPERLINK("http://twitter.com/download/android","Twitter for Android")</f>
        <v>Twitter for Android</v>
      </c>
      <c r="L103" s="12">
        <v>681</v>
      </c>
      <c r="M103" s="12">
        <v>1286</v>
      </c>
      <c r="N103" s="12">
        <v>15</v>
      </c>
      <c r="O103" s="15"/>
      <c r="P103" s="6">
        <v>41126.079039351855</v>
      </c>
      <c r="Q103" s="11"/>
      <c r="R103" s="17" t="s">
        <v>771</v>
      </c>
      <c r="S103" s="11"/>
      <c r="T103" s="11"/>
      <c r="U103" s="10" t="str">
        <f>HYPERLINK("https://pbs.twimg.com/profile_images/875252563666501632/IZDQiACK.jpg","View")</f>
        <v>View</v>
      </c>
    </row>
    <row r="104" spans="1:21" ht="30.6">
      <c r="A104" s="6">
        <v>43427.186597222222</v>
      </c>
      <c r="B104" s="7" t="str">
        <f>HYPERLINK("https://twitter.com/cab_eve","@cab_eve")</f>
        <v>@cab_eve</v>
      </c>
      <c r="C104" s="8" t="s">
        <v>339</v>
      </c>
      <c r="D104" s="9" t="s">
        <v>340</v>
      </c>
      <c r="E104" s="10" t="str">
        <f>HYPERLINK("https://twitter.com/cab_eve/status/1065945231768596480","1065945231768596480")</f>
        <v>1065945231768596480</v>
      </c>
      <c r="F104" s="14" t="s">
        <v>341</v>
      </c>
      <c r="G104" s="11"/>
      <c r="H104" s="11"/>
      <c r="I104" s="12">
        <v>1</v>
      </c>
      <c r="J104" s="12">
        <v>1</v>
      </c>
      <c r="K104" s="13" t="str">
        <f>HYPERLINK("http://twitter.com/#!/download/ipad","Twitter for iPad")</f>
        <v>Twitter for iPad</v>
      </c>
      <c r="L104" s="12">
        <v>580</v>
      </c>
      <c r="M104" s="12">
        <v>1246</v>
      </c>
      <c r="N104" s="12">
        <v>3</v>
      </c>
      <c r="O104" s="15"/>
      <c r="P104" s="6">
        <v>41074.16270833333</v>
      </c>
      <c r="Q104" s="16" t="s">
        <v>38</v>
      </c>
      <c r="R104" s="17" t="s">
        <v>342</v>
      </c>
      <c r="S104" s="11"/>
      <c r="T104" s="11"/>
      <c r="U104" s="10" t="str">
        <f>HYPERLINK("https://pbs.twimg.com/profile_images/1047403844345483265/tMHEHeA0.jpg","View")</f>
        <v>View</v>
      </c>
    </row>
    <row r="105" spans="1:21" ht="13.2">
      <c r="A105" s="6">
        <v>43427.185763888891</v>
      </c>
      <c r="B105" s="7" t="str">
        <f>HYPERLINK("https://twitter.com/JorgeAleman1951","@JorgeAleman1951")</f>
        <v>@JorgeAleman1951</v>
      </c>
      <c r="C105" s="8" t="s">
        <v>777</v>
      </c>
      <c r="D105" s="9" t="s">
        <v>778</v>
      </c>
      <c r="E105" s="10" t="str">
        <f>HYPERLINK("https://twitter.com/JorgeAleman1951/status/1065944930143690754","1065944930143690754")</f>
        <v>1065944930143690754</v>
      </c>
      <c r="F105" s="14" t="s">
        <v>559</v>
      </c>
      <c r="G105" s="11"/>
      <c r="H105" s="11"/>
      <c r="I105" s="12">
        <v>41</v>
      </c>
      <c r="J105" s="12">
        <v>49</v>
      </c>
      <c r="K105" s="13" t="str">
        <f>HYPERLINK("http://www.facebook.com/twitter","Facebook")</f>
        <v>Facebook</v>
      </c>
      <c r="L105" s="12">
        <v>6758</v>
      </c>
      <c r="M105" s="12">
        <v>430</v>
      </c>
      <c r="N105" s="12">
        <v>51</v>
      </c>
      <c r="O105" s="15"/>
      <c r="P105" s="6">
        <v>42121.517858796295</v>
      </c>
      <c r="Q105" s="11"/>
      <c r="R105" s="17" t="s">
        <v>782</v>
      </c>
      <c r="S105" s="11"/>
      <c r="T105" s="11"/>
      <c r="U105" s="10" t="str">
        <f>HYPERLINK("https://pbs.twimg.com/profile_images/592772314162409472/UblgNbsr.jpg","View")</f>
        <v>View</v>
      </c>
    </row>
    <row r="106" spans="1:21" ht="30.6">
      <c r="A106" s="6">
        <v>43427.185416666667</v>
      </c>
      <c r="B106" s="7" t="str">
        <f>HYPERLINK("https://twitter.com/ElCascabelTRECE","@ElCascabelTRECE")</f>
        <v>@ElCascabelTRECE</v>
      </c>
      <c r="C106" s="8" t="s">
        <v>305</v>
      </c>
      <c r="D106" s="9" t="s">
        <v>343</v>
      </c>
      <c r="E106" s="10" t="str">
        <f>HYPERLINK("https://twitter.com/ElCascabelTRECE/status/1065944804398325760","1065944804398325760")</f>
        <v>1065944804398325760</v>
      </c>
      <c r="F106" s="14" t="s">
        <v>344</v>
      </c>
      <c r="G106" s="14" t="s">
        <v>345</v>
      </c>
      <c r="H106" s="11"/>
      <c r="I106" s="12">
        <v>2</v>
      </c>
      <c r="J106" s="12">
        <v>2</v>
      </c>
      <c r="K106" s="13" t="str">
        <f>HYPERLINK("https://about.twitter.com/products/tweetdeck","TweetDeck")</f>
        <v>TweetDeck</v>
      </c>
      <c r="L106" s="12">
        <v>61533</v>
      </c>
      <c r="M106" s="12">
        <v>244</v>
      </c>
      <c r="N106" s="12">
        <v>461</v>
      </c>
      <c r="O106" s="18" t="s">
        <v>52</v>
      </c>
      <c r="P106" s="6">
        <v>41306.425115740742</v>
      </c>
      <c r="Q106" s="11"/>
      <c r="R106" s="17" t="s">
        <v>310</v>
      </c>
      <c r="S106" s="14" t="s">
        <v>311</v>
      </c>
      <c r="T106" s="11"/>
      <c r="U106" s="10" t="str">
        <f>HYPERLINK("https://pbs.twimg.com/profile_images/1038023153900052480/-k-n1Efd.jpg","View")</f>
        <v>View</v>
      </c>
    </row>
    <row r="107" spans="1:21" ht="20.399999999999999">
      <c r="A107" s="6">
        <v>43427.184155092589</v>
      </c>
      <c r="B107" s="7" t="str">
        <f>HYPERLINK("https://twitter.com/Tormentavideos","@Tormentavideos")</f>
        <v>@Tormentavideos</v>
      </c>
      <c r="C107" s="8" t="s">
        <v>785</v>
      </c>
      <c r="D107" s="9" t="s">
        <v>786</v>
      </c>
      <c r="E107" s="10" t="str">
        <f>HYPERLINK("https://twitter.com/Tormentavideos/status/1065944347978403840","1065944347978403840")</f>
        <v>1065944347978403840</v>
      </c>
      <c r="F107" s="16" t="s">
        <v>787</v>
      </c>
      <c r="G107" s="11"/>
      <c r="H107" s="11"/>
      <c r="I107" s="12">
        <v>0</v>
      </c>
      <c r="J107" s="12">
        <v>0</v>
      </c>
      <c r="K107" s="13" t="str">
        <f>HYPERLINK("http://publicize.wp.com/","WordPress.com")</f>
        <v>WordPress.com</v>
      </c>
      <c r="L107" s="12">
        <v>411</v>
      </c>
      <c r="M107" s="12">
        <v>1662</v>
      </c>
      <c r="N107" s="12">
        <v>2</v>
      </c>
      <c r="O107" s="15"/>
      <c r="P107" s="6">
        <v>43040.173495370371</v>
      </c>
      <c r="Q107" s="16" t="s">
        <v>87</v>
      </c>
      <c r="R107" s="17" t="s">
        <v>790</v>
      </c>
      <c r="S107" s="14" t="s">
        <v>791</v>
      </c>
      <c r="T107" s="11"/>
      <c r="U107" s="10" t="str">
        <f>HYPERLINK("https://pbs.twimg.com/profile_images/925682426139086849/jMMKbDpS.jpg","View")</f>
        <v>View</v>
      </c>
    </row>
    <row r="108" spans="1:21" ht="20.399999999999999">
      <c r="A108" s="6">
        <v>43427.182025462964</v>
      </c>
      <c r="B108" s="7" t="str">
        <f>HYPERLINK("https://twitter.com/Rojillo2018","@Rojillo2018")</f>
        <v>@Rojillo2018</v>
      </c>
      <c r="C108" s="8" t="s">
        <v>347</v>
      </c>
      <c r="D108" s="9" t="s">
        <v>349</v>
      </c>
      <c r="E108" s="10" t="str">
        <f>HYPERLINK("https://twitter.com/Rojillo2018/status/1065943574628524032","1065943574628524032")</f>
        <v>1065943574628524032</v>
      </c>
      <c r="F108" s="11"/>
      <c r="G108" s="14" t="s">
        <v>351</v>
      </c>
      <c r="H108" s="11"/>
      <c r="I108" s="12">
        <v>0</v>
      </c>
      <c r="J108" s="12">
        <v>0</v>
      </c>
      <c r="K108" s="13" t="str">
        <f>HYPERLINK("http://twitter.com","Twitter Web Client")</f>
        <v>Twitter Web Client</v>
      </c>
      <c r="L108" s="12">
        <v>449</v>
      </c>
      <c r="M108" s="12">
        <v>1034</v>
      </c>
      <c r="N108" s="12">
        <v>1</v>
      </c>
      <c r="O108" s="15"/>
      <c r="P108" s="6">
        <v>43416.25675925926</v>
      </c>
      <c r="Q108" s="16" t="s">
        <v>352</v>
      </c>
      <c r="R108" s="17" t="s">
        <v>353</v>
      </c>
      <c r="S108" s="11"/>
      <c r="T108" s="11"/>
      <c r="U108" s="10" t="str">
        <f>HYPERLINK("https://pbs.twimg.com/profile_images/1063905639091642369/tNutwQbh.jpg","View")</f>
        <v>View</v>
      </c>
    </row>
    <row r="109" spans="1:21" ht="51">
      <c r="A109" s="6">
        <v>43427.176886574074</v>
      </c>
      <c r="B109" s="7" t="str">
        <f>HYPERLINK("https://twitter.com/madrid24horas","@madrid24horas")</f>
        <v>@madrid24horas</v>
      </c>
      <c r="C109" s="8" t="s">
        <v>797</v>
      </c>
      <c r="D109" s="9" t="s">
        <v>799</v>
      </c>
      <c r="E109" s="10" t="str">
        <f>HYPERLINK("https://twitter.com/madrid24horas/status/1065941712307130369","1065941712307130369")</f>
        <v>1065941712307130369</v>
      </c>
      <c r="F109" s="14" t="s">
        <v>800</v>
      </c>
      <c r="G109" s="11"/>
      <c r="H109" s="11"/>
      <c r="I109" s="12">
        <v>0</v>
      </c>
      <c r="J109" s="12">
        <v>0</v>
      </c>
      <c r="K109" s="13" t="str">
        <f>HYPERLINK("https://ifttt.com","IFTTT")</f>
        <v>IFTTT</v>
      </c>
      <c r="L109" s="12">
        <v>1839</v>
      </c>
      <c r="M109" s="12">
        <v>1799</v>
      </c>
      <c r="N109" s="12">
        <v>37</v>
      </c>
      <c r="O109" s="15"/>
      <c r="P109" s="6">
        <v>41166.345775462964</v>
      </c>
      <c r="Q109" s="16" t="s">
        <v>87</v>
      </c>
      <c r="R109" s="17" t="s">
        <v>803</v>
      </c>
      <c r="S109" s="14" t="s">
        <v>804</v>
      </c>
      <c r="T109" s="11"/>
      <c r="U109" s="10" t="str">
        <f>HYPERLINK("https://pbs.twimg.com/profile_images/806297627029635072/W4TvPSPY.jpg","View")</f>
        <v>View</v>
      </c>
    </row>
    <row r="110" spans="1:21" ht="40.799999999999997">
      <c r="A110" s="6">
        <v>43427.174733796295</v>
      </c>
      <c r="B110" s="7" t="str">
        <f>HYPERLINK("https://twitter.com/julitowins","@julitowins")</f>
        <v>@julitowins</v>
      </c>
      <c r="C110" s="8" t="s">
        <v>807</v>
      </c>
      <c r="D110" s="9" t="s">
        <v>808</v>
      </c>
      <c r="E110" s="10" t="str">
        <f>HYPERLINK("https://twitter.com/julitowins/status/1065940935048081409","1065940935048081409")</f>
        <v>1065940935048081409</v>
      </c>
      <c r="F110" s="14" t="s">
        <v>809</v>
      </c>
      <c r="G110" s="11"/>
      <c r="H110" s="11"/>
      <c r="I110" s="12">
        <v>0</v>
      </c>
      <c r="J110" s="12">
        <v>0</v>
      </c>
      <c r="K110" s="13" t="str">
        <f t="shared" ref="K110:K111" si="16">HYPERLINK("http://twitter.com","Twitter Web Client")</f>
        <v>Twitter Web Client</v>
      </c>
      <c r="L110" s="12">
        <v>290</v>
      </c>
      <c r="M110" s="12">
        <v>674</v>
      </c>
      <c r="N110" s="12">
        <v>7</v>
      </c>
      <c r="O110" s="15"/>
      <c r="P110" s="6">
        <v>40630.357731481483</v>
      </c>
      <c r="Q110" s="16" t="s">
        <v>811</v>
      </c>
      <c r="R110" s="17" t="s">
        <v>812</v>
      </c>
      <c r="S110" s="11"/>
      <c r="T110" s="11"/>
      <c r="U110" s="10" t="str">
        <f>HYPERLINK("https://pbs.twimg.com/profile_images/595375778700886016/GaUqjBnX.jpg","View")</f>
        <v>View</v>
      </c>
    </row>
    <row r="111" spans="1:21" ht="40.799999999999997">
      <c r="A111" s="6">
        <v>43427.174143518518</v>
      </c>
      <c r="B111" s="7" t="str">
        <f>HYPERLINK("https://twitter.com/migupelo2","@migupelo2")</f>
        <v>@migupelo2</v>
      </c>
      <c r="C111" s="8" t="s">
        <v>354</v>
      </c>
      <c r="D111" s="9" t="s">
        <v>355</v>
      </c>
      <c r="E111" s="10" t="str">
        <f>HYPERLINK("https://twitter.com/migupelo2/status/1065940721230843912","1065940721230843912")</f>
        <v>1065940721230843912</v>
      </c>
      <c r="F111" s="14" t="s">
        <v>356</v>
      </c>
      <c r="G111" s="11"/>
      <c r="H111" s="11"/>
      <c r="I111" s="12">
        <v>0</v>
      </c>
      <c r="J111" s="12">
        <v>0</v>
      </c>
      <c r="K111" s="13" t="str">
        <f t="shared" si="16"/>
        <v>Twitter Web Client</v>
      </c>
      <c r="L111" s="12">
        <v>264</v>
      </c>
      <c r="M111" s="12">
        <v>760</v>
      </c>
      <c r="N111" s="12">
        <v>18</v>
      </c>
      <c r="O111" s="15"/>
      <c r="P111" s="6">
        <v>40477.493043981478</v>
      </c>
      <c r="Q111" s="11"/>
      <c r="R111" s="17" t="s">
        <v>357</v>
      </c>
      <c r="S111" s="11"/>
      <c r="T111" s="11"/>
      <c r="U111" s="10" t="str">
        <f>HYPERLINK("https://pbs.twimg.com/profile_images/2906316440/4ed1570f50fd6f70f1b28d458997dd81.jpeg","View")</f>
        <v>View</v>
      </c>
    </row>
    <row r="112" spans="1:21" ht="51">
      <c r="A112" s="6">
        <v>43427.174097222218</v>
      </c>
      <c r="B112" s="7" t="str">
        <f>HYPERLINK("https://twitter.com/carcelator","@carcelator")</f>
        <v>@carcelator</v>
      </c>
      <c r="C112" s="8" t="s">
        <v>358</v>
      </c>
      <c r="D112" s="9" t="s">
        <v>359</v>
      </c>
      <c r="E112" s="10" t="str">
        <f>HYPERLINK("https://twitter.com/carcelator/status/1065940702750752769","1065940702750752769")</f>
        <v>1065940702750752769</v>
      </c>
      <c r="F112" s="14" t="s">
        <v>360</v>
      </c>
      <c r="G112" s="11"/>
      <c r="H112" s="11"/>
      <c r="I112" s="12">
        <v>0</v>
      </c>
      <c r="J112" s="12">
        <v>2</v>
      </c>
      <c r="K112" s="13" t="str">
        <f>HYPERLINK("http://twitter.com/download/android","Twitter for Android")</f>
        <v>Twitter for Android</v>
      </c>
      <c r="L112" s="12">
        <v>1080</v>
      </c>
      <c r="M112" s="12">
        <v>979</v>
      </c>
      <c r="N112" s="12">
        <v>0</v>
      </c>
      <c r="O112" s="15"/>
      <c r="P112" s="6">
        <v>43209.218599537038</v>
      </c>
      <c r="Q112" s="16" t="s">
        <v>361</v>
      </c>
      <c r="R112" s="17" t="s">
        <v>362</v>
      </c>
      <c r="S112" s="11"/>
      <c r="T112" s="11"/>
      <c r="U112" s="10" t="str">
        <f>HYPERLINK("https://pbs.twimg.com/profile_images/1057562733988798464/NVHu_6Bc.jpg","View")</f>
        <v>View</v>
      </c>
    </row>
    <row r="113" spans="1:21" ht="20.399999999999999">
      <c r="A113" s="6">
        <v>43427.172905092593</v>
      </c>
      <c r="B113" s="7" t="str">
        <f>HYPERLINK("https://twitter.com/Arcaravan7","@Arcaravan7")</f>
        <v>@Arcaravan7</v>
      </c>
      <c r="C113" s="8" t="s">
        <v>820</v>
      </c>
      <c r="D113" s="9" t="s">
        <v>454</v>
      </c>
      <c r="E113" s="10" t="str">
        <f>HYPERLINK("https://twitter.com/Arcaravan7/status/1065940270146031617","1065940270146031617")</f>
        <v>1065940270146031617</v>
      </c>
      <c r="F113" s="14" t="s">
        <v>75</v>
      </c>
      <c r="G113" s="11"/>
      <c r="H113" s="11"/>
      <c r="I113" s="12">
        <v>0</v>
      </c>
      <c r="J113" s="12">
        <v>0</v>
      </c>
      <c r="K113" s="13" t="str">
        <f>HYPERLINK("http://tapbots.com/tweetbot","Tweetbot for iΟS")</f>
        <v>Tweetbot for iΟS</v>
      </c>
      <c r="L113" s="12">
        <v>1597</v>
      </c>
      <c r="M113" s="12">
        <v>1449</v>
      </c>
      <c r="N113" s="12">
        <v>35</v>
      </c>
      <c r="O113" s="15"/>
      <c r="P113" s="6">
        <v>41689.677766203706</v>
      </c>
      <c r="Q113" s="16" t="s">
        <v>824</v>
      </c>
      <c r="R113" s="17" t="s">
        <v>825</v>
      </c>
      <c r="S113" s="11"/>
      <c r="T113" s="11"/>
      <c r="U113" s="10" t="str">
        <f>HYPERLINK("https://pbs.twimg.com/profile_images/992778538947399680/AhcCj-NE.jpg","View")</f>
        <v>View</v>
      </c>
    </row>
    <row r="114" spans="1:21" ht="30.6">
      <c r="A114" s="6">
        <v>43427.172812500001</v>
      </c>
      <c r="B114" s="7" t="str">
        <f>HYPERLINK("https://twitter.com/alejandrors78","@alejandrors78")</f>
        <v>@alejandrors78</v>
      </c>
      <c r="C114" s="8" t="s">
        <v>364</v>
      </c>
      <c r="D114" s="9" t="s">
        <v>365</v>
      </c>
      <c r="E114" s="10" t="str">
        <f>HYPERLINK("https://twitter.com/alejandrors78/status/1065940236012830721","1065940236012830721")</f>
        <v>1065940236012830721</v>
      </c>
      <c r="F114" s="11"/>
      <c r="G114" s="14" t="s">
        <v>367</v>
      </c>
      <c r="H114" s="11"/>
      <c r="I114" s="12">
        <v>0</v>
      </c>
      <c r="J114" s="12">
        <v>2</v>
      </c>
      <c r="K114" s="13" t="str">
        <f>HYPERLINK("http://twitter.com/download/iphone","Twitter for iPhone")</f>
        <v>Twitter for iPhone</v>
      </c>
      <c r="L114" s="12">
        <v>108</v>
      </c>
      <c r="M114" s="12">
        <v>711</v>
      </c>
      <c r="N114" s="12">
        <v>5</v>
      </c>
      <c r="O114" s="15"/>
      <c r="P114" s="6">
        <v>41666.221875000003</v>
      </c>
      <c r="Q114" s="11"/>
      <c r="R114" s="19"/>
      <c r="S114" s="11"/>
      <c r="T114" s="11"/>
      <c r="U114" s="10" t="str">
        <f>HYPERLINK("https://pbs.twimg.com/profile_images/516170547840155648/E5cXx8I7.jpeg","View")</f>
        <v>View</v>
      </c>
    </row>
    <row r="115" spans="1:21" ht="30.6">
      <c r="A115" s="6">
        <v>43427.172106481477</v>
      </c>
      <c r="B115" s="7" t="str">
        <f>HYPERLINK("https://twitter.com/gortiz48","@gortiz48")</f>
        <v>@gortiz48</v>
      </c>
      <c r="C115" s="8" t="s">
        <v>828</v>
      </c>
      <c r="D115" s="9" t="s">
        <v>830</v>
      </c>
      <c r="E115" s="10" t="str">
        <f>HYPERLINK("https://twitter.com/gortiz48/status/1065939979900194818","1065939979900194818")</f>
        <v>1065939979900194818</v>
      </c>
      <c r="F115" s="11"/>
      <c r="G115" s="11"/>
      <c r="H115" s="11"/>
      <c r="I115" s="12">
        <v>0</v>
      </c>
      <c r="J115" s="12">
        <v>0</v>
      </c>
      <c r="K115" s="13" t="str">
        <f t="shared" ref="K115:K117" si="17">HYPERLINK("http://twitter.com/download/android","Twitter for Android")</f>
        <v>Twitter for Android</v>
      </c>
      <c r="L115" s="12">
        <v>6003</v>
      </c>
      <c r="M115" s="12">
        <v>5252</v>
      </c>
      <c r="N115" s="12">
        <v>43</v>
      </c>
      <c r="O115" s="15"/>
      <c r="P115" s="6">
        <v>40863.429722222223</v>
      </c>
      <c r="Q115" s="16" t="s">
        <v>28</v>
      </c>
      <c r="R115" s="17" t="s">
        <v>834</v>
      </c>
      <c r="S115" s="11"/>
      <c r="T115" s="11"/>
      <c r="U115" s="10" t="str">
        <f>HYPERLINK("https://pbs.twimg.com/profile_images/1019482606084206592/h-Tt3p_F.jpg","View")</f>
        <v>View</v>
      </c>
    </row>
    <row r="116" spans="1:21" ht="40.799999999999997">
      <c r="A116" s="6">
        <v>43427.171898148154</v>
      </c>
      <c r="B116" s="7" t="str">
        <f>HYPERLINK("https://twitter.com/rafa_morata","@rafa_morata")</f>
        <v>@rafa_morata</v>
      </c>
      <c r="C116" s="8" t="s">
        <v>838</v>
      </c>
      <c r="D116" s="9" t="s">
        <v>839</v>
      </c>
      <c r="E116" s="10" t="str">
        <f>HYPERLINK("https://twitter.com/rafa_morata/status/1065939906109874177","1065939906109874177")</f>
        <v>1065939906109874177</v>
      </c>
      <c r="F116" s="11"/>
      <c r="G116" s="14" t="s">
        <v>841</v>
      </c>
      <c r="H116" s="11"/>
      <c r="I116" s="12">
        <v>1</v>
      </c>
      <c r="J116" s="12">
        <v>5</v>
      </c>
      <c r="K116" s="13" t="str">
        <f t="shared" si="17"/>
        <v>Twitter for Android</v>
      </c>
      <c r="L116" s="12">
        <v>2920</v>
      </c>
      <c r="M116" s="12">
        <v>3450</v>
      </c>
      <c r="N116" s="12">
        <v>62</v>
      </c>
      <c r="O116" s="15"/>
      <c r="P116" s="6">
        <v>40580.364606481482</v>
      </c>
      <c r="Q116" s="16" t="s">
        <v>843</v>
      </c>
      <c r="R116" s="17" t="s">
        <v>844</v>
      </c>
      <c r="S116" s="14" t="s">
        <v>845</v>
      </c>
      <c r="T116" s="11"/>
      <c r="U116" s="10" t="str">
        <f>HYPERLINK("https://pbs.twimg.com/profile_images/1053296947627507712/53q_0tB9.jpg","View")</f>
        <v>View</v>
      </c>
    </row>
    <row r="117" spans="1:21" ht="51">
      <c r="A117" s="6">
        <v>43427.168634259258</v>
      </c>
      <c r="B117" s="7" t="str">
        <f>HYPERLINK("https://twitter.com/carcelator","@carcelator")</f>
        <v>@carcelator</v>
      </c>
      <c r="C117" s="8" t="s">
        <v>358</v>
      </c>
      <c r="D117" s="9" t="s">
        <v>370</v>
      </c>
      <c r="E117" s="10" t="str">
        <f>HYPERLINK("https://twitter.com/carcelator/status/1065938723307757568","1065938723307757568")</f>
        <v>1065938723307757568</v>
      </c>
      <c r="F117" s="14" t="s">
        <v>372</v>
      </c>
      <c r="G117" s="11"/>
      <c r="H117" s="11"/>
      <c r="I117" s="12">
        <v>2</v>
      </c>
      <c r="J117" s="12">
        <v>3</v>
      </c>
      <c r="K117" s="13" t="str">
        <f t="shared" si="17"/>
        <v>Twitter for Android</v>
      </c>
      <c r="L117" s="12">
        <v>1080</v>
      </c>
      <c r="M117" s="12">
        <v>979</v>
      </c>
      <c r="N117" s="12">
        <v>0</v>
      </c>
      <c r="O117" s="15"/>
      <c r="P117" s="6">
        <v>43209.218599537038</v>
      </c>
      <c r="Q117" s="16" t="s">
        <v>361</v>
      </c>
      <c r="R117" s="17" t="s">
        <v>362</v>
      </c>
      <c r="S117" s="11"/>
      <c r="T117" s="11"/>
      <c r="U117" s="10" t="str">
        <f>HYPERLINK("https://pbs.twimg.com/profile_images/1057562733988798464/NVHu_6Bc.jpg","View")</f>
        <v>View</v>
      </c>
    </row>
    <row r="118" spans="1:21" ht="61.2">
      <c r="A118" s="6">
        <v>43427.166631944448</v>
      </c>
      <c r="B118" s="7" t="str">
        <f>HYPERLINK("https://twitter.com/usingneurons","@usingneurons")</f>
        <v>@usingneurons</v>
      </c>
      <c r="C118" s="8" t="s">
        <v>280</v>
      </c>
      <c r="D118" s="9" t="s">
        <v>377</v>
      </c>
      <c r="E118" s="10" t="str">
        <f>HYPERLINK("https://twitter.com/usingneurons/status/1065937996430655489","1065937996430655489")</f>
        <v>1065937996430655489</v>
      </c>
      <c r="F118" s="11"/>
      <c r="G118" s="11"/>
      <c r="H118" s="11"/>
      <c r="I118" s="12">
        <v>0</v>
      </c>
      <c r="J118" s="12">
        <v>0</v>
      </c>
      <c r="K118" s="13" t="str">
        <f>HYPERLINK("http://twitter.com","Twitter Web Client")</f>
        <v>Twitter Web Client</v>
      </c>
      <c r="L118" s="12">
        <v>924</v>
      </c>
      <c r="M118" s="12">
        <v>894</v>
      </c>
      <c r="N118" s="12">
        <v>21</v>
      </c>
      <c r="O118" s="15"/>
      <c r="P118" s="6">
        <v>41781.407407407409</v>
      </c>
      <c r="Q118" s="11"/>
      <c r="R118" s="17" t="s">
        <v>286</v>
      </c>
      <c r="S118" s="11"/>
      <c r="T118" s="11"/>
      <c r="U118" s="10" t="str">
        <f>HYPERLINK("https://pbs.twimg.com/profile_images/497787841733066752/jnJEf2Rm.jpeg","View")</f>
        <v>View</v>
      </c>
    </row>
    <row r="119" spans="1:21" ht="30.6">
      <c r="A119" s="6">
        <v>43427.166550925926</v>
      </c>
      <c r="B119" s="7" t="str">
        <f>HYPERLINK("https://twitter.com/CwhRoss","@CwhRoss")</f>
        <v>@CwhRoss</v>
      </c>
      <c r="C119" s="8" t="s">
        <v>853</v>
      </c>
      <c r="D119" s="9" t="s">
        <v>854</v>
      </c>
      <c r="E119" s="10" t="str">
        <f>HYPERLINK("https://twitter.com/CwhRoss/status/1065937969851310080","1065937969851310080")</f>
        <v>1065937969851310080</v>
      </c>
      <c r="F119" s="14" t="s">
        <v>856</v>
      </c>
      <c r="G119" s="11"/>
      <c r="H119" s="11"/>
      <c r="I119" s="12">
        <v>0</v>
      </c>
      <c r="J119" s="12">
        <v>0</v>
      </c>
      <c r="K119" s="13" t="str">
        <f t="shared" ref="K119:K120" si="18">HYPERLINK("http://www.facebook.com/twitter","Facebook")</f>
        <v>Facebook</v>
      </c>
      <c r="L119" s="12">
        <v>169</v>
      </c>
      <c r="M119" s="12">
        <v>2</v>
      </c>
      <c r="N119" s="12">
        <v>45</v>
      </c>
      <c r="O119" s="15"/>
      <c r="P119" s="6">
        <v>41008.406701388885</v>
      </c>
      <c r="Q119" s="16" t="s">
        <v>857</v>
      </c>
      <c r="R119" s="20" t="s">
        <v>858</v>
      </c>
      <c r="S119" s="14" t="s">
        <v>859</v>
      </c>
      <c r="T119" s="11"/>
      <c r="U119" s="10" t="str">
        <f>HYPERLINK("https://pbs.twimg.com/profile_images/2076887937/Copy_of_cerdo_con_maciza.jpg","View")</f>
        <v>View</v>
      </c>
    </row>
    <row r="120" spans="1:21" ht="102">
      <c r="A120" s="6">
        <v>43427.165011574078</v>
      </c>
      <c r="B120" s="7" t="str">
        <f>HYPERLINK("https://twitter.com/VictoriAndres1","@VictoriAndres1")</f>
        <v>@VictoriAndres1</v>
      </c>
      <c r="C120" s="8" t="s">
        <v>33</v>
      </c>
      <c r="D120" s="9" t="s">
        <v>382</v>
      </c>
      <c r="E120" s="10" t="str">
        <f>HYPERLINK("https://twitter.com/VictoriAndres1/status/1065937409148416000","1065937409148416000")</f>
        <v>1065937409148416000</v>
      </c>
      <c r="F120" s="14" t="s">
        <v>385</v>
      </c>
      <c r="G120" s="14" t="s">
        <v>386</v>
      </c>
      <c r="H120" s="11"/>
      <c r="I120" s="12">
        <v>0</v>
      </c>
      <c r="J120" s="12">
        <v>0</v>
      </c>
      <c r="K120" s="13" t="str">
        <f t="shared" si="18"/>
        <v>Facebook</v>
      </c>
      <c r="L120" s="12">
        <v>196</v>
      </c>
      <c r="M120" s="12">
        <v>292</v>
      </c>
      <c r="N120" s="12">
        <v>1</v>
      </c>
      <c r="O120" s="15"/>
      <c r="P120" s="6">
        <v>40992.087916666671</v>
      </c>
      <c r="Q120" s="16" t="s">
        <v>38</v>
      </c>
      <c r="R120" s="17" t="s">
        <v>40</v>
      </c>
      <c r="S120" s="14" t="s">
        <v>41</v>
      </c>
      <c r="T120" s="11"/>
      <c r="U120" s="10" t="str">
        <f>HYPERLINK("https://pbs.twimg.com/profile_images/1018850373476454400/___hRpp7.jpg","View")</f>
        <v>View</v>
      </c>
    </row>
    <row r="121" spans="1:21" ht="30.6">
      <c r="A121" s="6">
        <v>43427.164363425924</v>
      </c>
      <c r="B121" s="7" t="str">
        <f>HYPERLINK("https://twitter.com/Podemos_DV","@Podemos_DV")</f>
        <v>@Podemos_DV</v>
      </c>
      <c r="C121" s="8" t="s">
        <v>865</v>
      </c>
      <c r="D121" s="9" t="s">
        <v>768</v>
      </c>
      <c r="E121" s="10" t="str">
        <f>HYPERLINK("https://twitter.com/Podemos_DV/status/1065937174103764992","1065937174103764992")</f>
        <v>1065937174103764992</v>
      </c>
      <c r="F121" s="14" t="s">
        <v>529</v>
      </c>
      <c r="G121" s="11"/>
      <c r="H121" s="11"/>
      <c r="I121" s="12">
        <v>0</v>
      </c>
      <c r="J121" s="12">
        <v>1</v>
      </c>
      <c r="K121" s="13" t="str">
        <f>HYPERLINK("http://twitter.com","Twitter Web Client")</f>
        <v>Twitter Web Client</v>
      </c>
      <c r="L121" s="12">
        <v>209</v>
      </c>
      <c r="M121" s="12">
        <v>243</v>
      </c>
      <c r="N121" s="12">
        <v>4</v>
      </c>
      <c r="O121" s="15"/>
      <c r="P121" s="6">
        <v>42157.334652777776</v>
      </c>
      <c r="Q121" s="16" t="s">
        <v>869</v>
      </c>
      <c r="R121" s="17" t="s">
        <v>870</v>
      </c>
      <c r="S121" s="11"/>
      <c r="T121" s="11"/>
      <c r="U121" s="10" t="str">
        <f>HYPERLINK("https://pbs.twimg.com/profile_images/699241240093663232/UDUzb8_v.png","View")</f>
        <v>View</v>
      </c>
    </row>
    <row r="122" spans="1:21" ht="20.399999999999999">
      <c r="A122" s="6">
        <v>43427.163402777776</v>
      </c>
      <c r="B122" s="7" t="str">
        <f>HYPERLINK("https://twitter.com/fdenaes","@fdenaes")</f>
        <v>@fdenaes</v>
      </c>
      <c r="C122" s="8" t="s">
        <v>390</v>
      </c>
      <c r="D122" s="9" t="s">
        <v>391</v>
      </c>
      <c r="E122" s="10" t="str">
        <f>HYPERLINK("https://twitter.com/fdenaes/status/1065936827339743232","1065936827339743232")</f>
        <v>1065936827339743232</v>
      </c>
      <c r="F122" s="11"/>
      <c r="G122" s="11"/>
      <c r="H122" s="11"/>
      <c r="I122" s="12">
        <v>26</v>
      </c>
      <c r="J122" s="12">
        <v>50</v>
      </c>
      <c r="K122" s="13" t="str">
        <f>HYPERLINK("http://twitter.com/download/android","Twitter for Android")</f>
        <v>Twitter for Android</v>
      </c>
      <c r="L122" s="12">
        <v>20923</v>
      </c>
      <c r="M122" s="12">
        <v>334</v>
      </c>
      <c r="N122" s="12">
        <v>192</v>
      </c>
      <c r="O122" s="15"/>
      <c r="P122" s="6">
        <v>40522.031168981484</v>
      </c>
      <c r="Q122" s="16" t="s">
        <v>28</v>
      </c>
      <c r="R122" s="17" t="s">
        <v>392</v>
      </c>
      <c r="S122" s="14" t="s">
        <v>393</v>
      </c>
      <c r="T122" s="11"/>
      <c r="U122" s="10" t="str">
        <f>HYPERLINK("https://pbs.twimg.com/profile_images/378800000429495147/a3369ddbd1b31211bb59e0af0709db22.jpeg","View")</f>
        <v>View</v>
      </c>
    </row>
    <row r="123" spans="1:21" ht="40.799999999999997">
      <c r="A123" s="6">
        <v>43427.163043981476</v>
      </c>
      <c r="B123" s="7" t="str">
        <f>HYPERLINK("https://twitter.com/migra_conflicts","@migra_conflicts")</f>
        <v>@migra_conflicts</v>
      </c>
      <c r="C123" s="8" t="s">
        <v>394</v>
      </c>
      <c r="D123" s="9" t="s">
        <v>395</v>
      </c>
      <c r="E123" s="10" t="str">
        <f>HYPERLINK("https://twitter.com/migra_conflicts/status/1065936698213834752","1065936698213834752")</f>
        <v>1065936698213834752</v>
      </c>
      <c r="F123" s="11"/>
      <c r="G123" s="11"/>
      <c r="H123" s="11"/>
      <c r="I123" s="12">
        <v>0</v>
      </c>
      <c r="J123" s="12">
        <v>0</v>
      </c>
      <c r="K123" s="13" t="str">
        <f t="shared" ref="K123:K125" si="19">HYPERLINK("http://twitter.com","Twitter Web Client")</f>
        <v>Twitter Web Client</v>
      </c>
      <c r="L123" s="12">
        <v>1873</v>
      </c>
      <c r="M123" s="12">
        <v>2711</v>
      </c>
      <c r="N123" s="12">
        <v>102</v>
      </c>
      <c r="O123" s="15"/>
      <c r="P123" s="6">
        <v>41110.386747685188</v>
      </c>
      <c r="Q123" s="16" t="s">
        <v>38</v>
      </c>
      <c r="R123" s="17" t="s">
        <v>396</v>
      </c>
      <c r="S123" s="14" t="s">
        <v>397</v>
      </c>
      <c r="T123" s="11"/>
      <c r="U123" s="10" t="str">
        <f>HYPERLINK("https://pbs.twimg.com/profile_images/814828068271427584/oY4TLBml.jpg","View")</f>
        <v>View</v>
      </c>
    </row>
    <row r="124" spans="1:21" ht="40.799999999999997">
      <c r="A124" s="6">
        <v>43427.162372685183</v>
      </c>
      <c r="B124" s="7" t="str">
        <f>HYPERLINK("https://twitter.com/migupelo2","@migupelo2")</f>
        <v>@migupelo2</v>
      </c>
      <c r="C124" s="8" t="s">
        <v>354</v>
      </c>
      <c r="D124" s="9" t="s">
        <v>398</v>
      </c>
      <c r="E124" s="10" t="str">
        <f>HYPERLINK("https://twitter.com/migupelo2/status/1065936452519960576","1065936452519960576")</f>
        <v>1065936452519960576</v>
      </c>
      <c r="F124" s="14" t="s">
        <v>399</v>
      </c>
      <c r="G124" s="11"/>
      <c r="H124" s="11"/>
      <c r="I124" s="12">
        <v>0</v>
      </c>
      <c r="J124" s="12">
        <v>0</v>
      </c>
      <c r="K124" s="13" t="str">
        <f t="shared" si="19"/>
        <v>Twitter Web Client</v>
      </c>
      <c r="L124" s="12">
        <v>264</v>
      </c>
      <c r="M124" s="12">
        <v>760</v>
      </c>
      <c r="N124" s="12">
        <v>18</v>
      </c>
      <c r="O124" s="15"/>
      <c r="P124" s="6">
        <v>40477.493043981478</v>
      </c>
      <c r="Q124" s="11"/>
      <c r="R124" s="17" t="s">
        <v>357</v>
      </c>
      <c r="S124" s="11"/>
      <c r="T124" s="11"/>
      <c r="U124" s="10" t="str">
        <f>HYPERLINK("https://pbs.twimg.com/profile_images/2906316440/4ed1570f50fd6f70f1b28d458997dd81.jpeg","View")</f>
        <v>View</v>
      </c>
    </row>
    <row r="125" spans="1:21" ht="51">
      <c r="A125" s="6">
        <v>43427.161446759259</v>
      </c>
      <c r="B125" s="7" t="str">
        <f>HYPERLINK("https://twitter.com/Radio_Sporting","@Radio_Sporting")</f>
        <v>@Radio_Sporting</v>
      </c>
      <c r="C125" s="8" t="s">
        <v>884</v>
      </c>
      <c r="D125" s="9" t="s">
        <v>885</v>
      </c>
      <c r="E125" s="10" t="str">
        <f>HYPERLINK("https://twitter.com/Radio_Sporting/status/1065936118561103873","1065936118561103873")</f>
        <v>1065936118561103873</v>
      </c>
      <c r="F125" s="14" t="s">
        <v>889</v>
      </c>
      <c r="G125" s="11"/>
      <c r="H125" s="11"/>
      <c r="I125" s="12">
        <v>2</v>
      </c>
      <c r="J125" s="12">
        <v>2</v>
      </c>
      <c r="K125" s="13" t="str">
        <f t="shared" si="19"/>
        <v>Twitter Web Client</v>
      </c>
      <c r="L125" s="12">
        <v>2244</v>
      </c>
      <c r="M125" s="12">
        <v>1450</v>
      </c>
      <c r="N125" s="12">
        <v>35</v>
      </c>
      <c r="O125" s="15"/>
      <c r="P125" s="6">
        <v>41810.058981481481</v>
      </c>
      <c r="Q125" s="16" t="s">
        <v>891</v>
      </c>
      <c r="R125" s="17" t="s">
        <v>892</v>
      </c>
      <c r="S125" s="14" t="s">
        <v>893</v>
      </c>
      <c r="T125" s="11"/>
      <c r="U125" s="10" t="str">
        <f>HYPERLINK("https://pbs.twimg.com/profile_images/1046720125746008067/7_1_XRaL.jpg","View")</f>
        <v>View</v>
      </c>
    </row>
    <row r="126" spans="1:21" ht="51">
      <c r="A126" s="6">
        <v>43427.159884259258</v>
      </c>
      <c r="B126" s="7" t="str">
        <f>HYPERLINK("https://twitter.com/veroventureira","@veroventureira")</f>
        <v>@veroventureira</v>
      </c>
      <c r="C126" s="8" t="s">
        <v>894</v>
      </c>
      <c r="D126" s="9" t="s">
        <v>895</v>
      </c>
      <c r="E126" s="10" t="str">
        <f>HYPERLINK("https://twitter.com/veroventureira/status/1065935551407243264","1065935551407243264")</f>
        <v>1065935551407243264</v>
      </c>
      <c r="F126" s="14" t="s">
        <v>896</v>
      </c>
      <c r="G126" s="11"/>
      <c r="H126" s="11"/>
      <c r="I126" s="12">
        <v>0</v>
      </c>
      <c r="J126" s="12">
        <v>1</v>
      </c>
      <c r="K126" s="13" t="str">
        <f>HYPERLINK("http://twitter.com/#!/download/ipad","Twitter for iPad")</f>
        <v>Twitter for iPad</v>
      </c>
      <c r="L126" s="12">
        <v>391</v>
      </c>
      <c r="M126" s="12">
        <v>381</v>
      </c>
      <c r="N126" s="12">
        <v>8</v>
      </c>
      <c r="O126" s="15"/>
      <c r="P126" s="6">
        <v>41939.828194444446</v>
      </c>
      <c r="Q126" s="16" t="s">
        <v>901</v>
      </c>
      <c r="R126" s="17" t="s">
        <v>902</v>
      </c>
      <c r="S126" s="11"/>
      <c r="T126" s="11"/>
      <c r="U126" s="10" t="str">
        <f>HYPERLINK("https://pbs.twimg.com/profile_images/814393276602220544/j0LUkFro.jpg","View")</f>
        <v>View</v>
      </c>
    </row>
    <row r="127" spans="1:21" ht="20.399999999999999">
      <c r="A127" s="6">
        <v>43427.158692129626</v>
      </c>
      <c r="B127" s="7" t="str">
        <f>HYPERLINK("https://twitter.com/soyjorgeceuta","@soyjorgeceuta")</f>
        <v>@soyjorgeceuta</v>
      </c>
      <c r="C127" s="8" t="s">
        <v>906</v>
      </c>
      <c r="D127" s="9" t="s">
        <v>907</v>
      </c>
      <c r="E127" s="10" t="str">
        <f>HYPERLINK("https://twitter.com/soyjorgeceuta/status/1065935120778051584","1065935120778051584")</f>
        <v>1065935120778051584</v>
      </c>
      <c r="F127" s="14" t="s">
        <v>908</v>
      </c>
      <c r="G127" s="11"/>
      <c r="H127" s="11"/>
      <c r="I127" s="12">
        <v>0</v>
      </c>
      <c r="J127" s="12">
        <v>0</v>
      </c>
      <c r="K127" s="13" t="str">
        <f>HYPERLINK("https://zapier.com/","Zapier.com")</f>
        <v>Zapier.com</v>
      </c>
      <c r="L127" s="12">
        <v>58</v>
      </c>
      <c r="M127" s="12">
        <v>151</v>
      </c>
      <c r="N127" s="12">
        <v>3</v>
      </c>
      <c r="O127" s="15"/>
      <c r="P127" s="6">
        <v>41205.243136574078</v>
      </c>
      <c r="Q127" s="16" t="s">
        <v>843</v>
      </c>
      <c r="R127" s="19"/>
      <c r="S127" s="11"/>
      <c r="T127" s="11"/>
      <c r="U127" s="10" t="str">
        <f>HYPERLINK("https://pbs.twimg.com/profile_images/1054825739231617026/fnf6-9A-.jpg","View")</f>
        <v>View</v>
      </c>
    </row>
    <row r="128" spans="1:21" ht="81.599999999999994">
      <c r="A128" s="6">
        <v>43427.158287037033</v>
      </c>
      <c r="B128" s="7" t="str">
        <f>HYPERLINK("https://twitter.com/hispalis55","@hispalis55")</f>
        <v>@hispalis55</v>
      </c>
      <c r="C128" s="8" t="s">
        <v>402</v>
      </c>
      <c r="D128" s="9" t="s">
        <v>404</v>
      </c>
      <c r="E128" s="10" t="str">
        <f>HYPERLINK("https://twitter.com/hispalis55/status/1065934972253597696","1065934972253597696")</f>
        <v>1065934972253597696</v>
      </c>
      <c r="F128" s="14" t="s">
        <v>405</v>
      </c>
      <c r="G128" s="11"/>
      <c r="H128" s="11"/>
      <c r="I128" s="12">
        <v>0</v>
      </c>
      <c r="J128" s="12">
        <v>1</v>
      </c>
      <c r="K128" s="13" t="str">
        <f>HYPERLINK("http://twitter.com/download/iphone","Twitter for iPhone")</f>
        <v>Twitter for iPhone</v>
      </c>
      <c r="L128" s="12">
        <v>174</v>
      </c>
      <c r="M128" s="12">
        <v>399</v>
      </c>
      <c r="N128" s="12">
        <v>7</v>
      </c>
      <c r="O128" s="15"/>
      <c r="P128" s="6">
        <v>40601.513865740737</v>
      </c>
      <c r="Q128" s="16" t="s">
        <v>407</v>
      </c>
      <c r="R128" s="17" t="s">
        <v>409</v>
      </c>
      <c r="S128" s="11"/>
      <c r="T128" s="11"/>
      <c r="U128" s="10" t="str">
        <f>HYPERLINK("https://pbs.twimg.com/profile_images/2586825699/image.jpg","View")</f>
        <v>View</v>
      </c>
    </row>
    <row r="129" spans="1:21" ht="40.799999999999997">
      <c r="A129" s="6">
        <v>43427.15824074074</v>
      </c>
      <c r="B129" s="7" t="str">
        <f>HYPERLINK("https://twitter.com/CELAGeopolitica","@CELAGeopolitica")</f>
        <v>@CELAGeopolitica</v>
      </c>
      <c r="C129" s="8" t="s">
        <v>411</v>
      </c>
      <c r="D129" s="9" t="s">
        <v>412</v>
      </c>
      <c r="E129" s="10" t="str">
        <f>HYPERLINK("https://twitter.com/CELAGeopolitica/status/1065934955413426176","1065934955413426176")</f>
        <v>1065934955413426176</v>
      </c>
      <c r="F129" s="14" t="s">
        <v>413</v>
      </c>
      <c r="G129" s="14" t="s">
        <v>414</v>
      </c>
      <c r="H129" s="11"/>
      <c r="I129" s="12">
        <v>10</v>
      </c>
      <c r="J129" s="12">
        <v>9</v>
      </c>
      <c r="K129" s="13" t="str">
        <f>HYPERLINK("https://about.twitter.com/products/tweetdeck","TweetDeck")</f>
        <v>TweetDeck</v>
      </c>
      <c r="L129" s="12">
        <v>15538</v>
      </c>
      <c r="M129" s="12">
        <v>1086</v>
      </c>
      <c r="N129" s="12">
        <v>183</v>
      </c>
      <c r="O129" s="15"/>
      <c r="P129" s="6">
        <v>41605.630127314813</v>
      </c>
      <c r="Q129" s="16" t="s">
        <v>417</v>
      </c>
      <c r="R129" s="17" t="s">
        <v>418</v>
      </c>
      <c r="S129" s="14" t="s">
        <v>419</v>
      </c>
      <c r="T129" s="11"/>
      <c r="U129" s="10" t="str">
        <f>HYPERLINK("https://pbs.twimg.com/profile_images/976829342016786432/by4xLGeC.jpg","View")</f>
        <v>View</v>
      </c>
    </row>
    <row r="130" spans="1:21" ht="51">
      <c r="A130" s="6">
        <v>43427.158182870371</v>
      </c>
      <c r="B130" s="7" t="str">
        <f>HYPERLINK("https://twitter.com/Rojillo2018","@Rojillo2018")</f>
        <v>@Rojillo2018</v>
      </c>
      <c r="C130" s="8" t="s">
        <v>347</v>
      </c>
      <c r="D130" s="9" t="s">
        <v>423</v>
      </c>
      <c r="E130" s="10" t="str">
        <f>HYPERLINK("https://twitter.com/Rojillo2018/status/1065934935339474944","1065934935339474944")</f>
        <v>1065934935339474944</v>
      </c>
      <c r="F130" s="11"/>
      <c r="G130" s="14" t="s">
        <v>424</v>
      </c>
      <c r="H130" s="11"/>
      <c r="I130" s="12">
        <v>2</v>
      </c>
      <c r="J130" s="12">
        <v>2</v>
      </c>
      <c r="K130" s="13" t="str">
        <f t="shared" ref="K130:K131" si="20">HYPERLINK("http://twitter.com","Twitter Web Client")</f>
        <v>Twitter Web Client</v>
      </c>
      <c r="L130" s="12">
        <v>449</v>
      </c>
      <c r="M130" s="12">
        <v>1034</v>
      </c>
      <c r="N130" s="12">
        <v>1</v>
      </c>
      <c r="O130" s="15"/>
      <c r="P130" s="6">
        <v>43416.25675925926</v>
      </c>
      <c r="Q130" s="16" t="s">
        <v>352</v>
      </c>
      <c r="R130" s="17" t="s">
        <v>353</v>
      </c>
      <c r="S130" s="11"/>
      <c r="T130" s="11"/>
      <c r="U130" s="10" t="str">
        <f>HYPERLINK("https://pbs.twimg.com/profile_images/1063905639091642369/tNutwQbh.jpg","View")</f>
        <v>View</v>
      </c>
    </row>
    <row r="131" spans="1:21" ht="30.6">
      <c r="A131" s="6">
        <v>43427.157233796301</v>
      </c>
      <c r="B131" s="7" t="str">
        <f>HYPERLINK("https://twitter.com/jschmadrid","@jschmadrid")</f>
        <v>@jschmadrid</v>
      </c>
      <c r="C131" s="8" t="s">
        <v>922</v>
      </c>
      <c r="D131" s="9" t="s">
        <v>923</v>
      </c>
      <c r="E131" s="10" t="str">
        <f>HYPERLINK("https://twitter.com/jschmadrid/status/1065934589976354816","1065934589976354816")</f>
        <v>1065934589976354816</v>
      </c>
      <c r="F131" s="14" t="s">
        <v>927</v>
      </c>
      <c r="G131" s="11"/>
      <c r="H131" s="11"/>
      <c r="I131" s="12">
        <v>0</v>
      </c>
      <c r="J131" s="12">
        <v>0</v>
      </c>
      <c r="K131" s="13" t="str">
        <f t="shared" si="20"/>
        <v>Twitter Web Client</v>
      </c>
      <c r="L131" s="12">
        <v>36</v>
      </c>
      <c r="M131" s="12">
        <v>158</v>
      </c>
      <c r="N131" s="12">
        <v>0</v>
      </c>
      <c r="O131" s="15"/>
      <c r="P131" s="6">
        <v>40480.106932870374</v>
      </c>
      <c r="Q131" s="16" t="s">
        <v>929</v>
      </c>
      <c r="R131" s="19"/>
      <c r="S131" s="11"/>
      <c r="T131" s="11"/>
      <c r="U131" s="18" t="s">
        <v>168</v>
      </c>
    </row>
    <row r="132" spans="1:21" ht="40.799999999999997">
      <c r="A132" s="6">
        <v>43427.15625</v>
      </c>
      <c r="B132" s="7" t="str">
        <f>HYPERLINK("https://twitter.com/abc_es","@abc_es")</f>
        <v>@abc_es</v>
      </c>
      <c r="C132" s="22" t="s">
        <v>930</v>
      </c>
      <c r="D132" s="9" t="s">
        <v>907</v>
      </c>
      <c r="E132" s="10" t="str">
        <f>HYPERLINK("https://twitter.com/abc_es/status/1065934234693586944","1065934234693586944")</f>
        <v>1065934234693586944</v>
      </c>
      <c r="F132" s="14" t="s">
        <v>908</v>
      </c>
      <c r="G132" s="11"/>
      <c r="H132" s="11"/>
      <c r="I132" s="12">
        <v>4</v>
      </c>
      <c r="J132" s="12">
        <v>1</v>
      </c>
      <c r="K132" s="13" t="str">
        <f>HYPERLINK("https://dogtrack.es","DogTrack ABC")</f>
        <v>DogTrack ABC</v>
      </c>
      <c r="L132" s="12">
        <v>1604208</v>
      </c>
      <c r="M132" s="12">
        <v>15517</v>
      </c>
      <c r="N132" s="12">
        <v>17111</v>
      </c>
      <c r="O132" s="18" t="s">
        <v>52</v>
      </c>
      <c r="P132" s="6">
        <v>39846.465682870374</v>
      </c>
      <c r="Q132" s="16" t="s">
        <v>28</v>
      </c>
      <c r="R132" s="17" t="s">
        <v>933</v>
      </c>
      <c r="S132" s="14" t="s">
        <v>934</v>
      </c>
      <c r="T132" s="11"/>
      <c r="U132" s="10" t="str">
        <f>HYPERLINK("https://pbs.twimg.com/profile_images/1053638435309842432/s75OnwdY.jpg","View")</f>
        <v>View</v>
      </c>
    </row>
    <row r="133" spans="1:21" ht="61.2">
      <c r="A133" s="6">
        <v>43427.15489583333</v>
      </c>
      <c r="B133" s="7" t="str">
        <f>HYPERLINK("https://twitter.com/federacionaice","@federacionaice")</f>
        <v>@federacionaice</v>
      </c>
      <c r="C133" s="8" t="s">
        <v>425</v>
      </c>
      <c r="D133" s="9" t="s">
        <v>426</v>
      </c>
      <c r="E133" s="10" t="str">
        <f>HYPERLINK("https://twitter.com/federacionaice/status/1065933746216542208","1065933746216542208")</f>
        <v>1065933746216542208</v>
      </c>
      <c r="F133" s="11"/>
      <c r="G133" s="14" t="s">
        <v>427</v>
      </c>
      <c r="H133" s="11"/>
      <c r="I133" s="12">
        <v>10</v>
      </c>
      <c r="J133" s="12">
        <v>17</v>
      </c>
      <c r="K133" s="13" t="str">
        <f>HYPERLINK("http://twitter.com","Twitter Web Client")</f>
        <v>Twitter Web Client</v>
      </c>
      <c r="L133" s="12">
        <v>1172</v>
      </c>
      <c r="M133" s="12">
        <v>163</v>
      </c>
      <c r="N133" s="12">
        <v>38</v>
      </c>
      <c r="O133" s="15"/>
      <c r="P133" s="6">
        <v>41205.283125000002</v>
      </c>
      <c r="Q133" s="16" t="s">
        <v>256</v>
      </c>
      <c r="R133" s="17" t="s">
        <v>430</v>
      </c>
      <c r="S133" s="14" t="s">
        <v>431</v>
      </c>
      <c r="T133" s="11"/>
      <c r="U133" s="10" t="str">
        <f>HYPERLINK("https://pbs.twimg.com/profile_images/2758658504/fdefcb5cd9442b73a675a3d071bd29e3.jpeg","View")</f>
        <v>View</v>
      </c>
    </row>
    <row r="134" spans="1:21" ht="51">
      <c r="A134" s="6">
        <v>43427.154583333337</v>
      </c>
      <c r="B134" s="7" t="str">
        <f>HYPERLINK("https://twitter.com/FreireALFONSO","@FreireALFONSO")</f>
        <v>@FreireALFONSO</v>
      </c>
      <c r="C134" s="8" t="s">
        <v>434</v>
      </c>
      <c r="D134" s="9" t="s">
        <v>435</v>
      </c>
      <c r="E134" s="10" t="str">
        <f>HYPERLINK("https://twitter.com/FreireALFONSO/status/1065933629518434304","1065933629518434304")</f>
        <v>1065933629518434304</v>
      </c>
      <c r="F134" s="14" t="s">
        <v>436</v>
      </c>
      <c r="G134" s="11"/>
      <c r="H134" s="11"/>
      <c r="I134" s="12">
        <v>0</v>
      </c>
      <c r="J134" s="12">
        <v>0</v>
      </c>
      <c r="K134" s="13" t="str">
        <f>HYPERLINK("http://twitter.com/download/android","Twitter for Android")</f>
        <v>Twitter for Android</v>
      </c>
      <c r="L134" s="12">
        <v>101</v>
      </c>
      <c r="M134" s="12">
        <v>83</v>
      </c>
      <c r="N134" s="12">
        <v>4</v>
      </c>
      <c r="O134" s="15"/>
      <c r="P134" s="6">
        <v>41195.490740740745</v>
      </c>
      <c r="Q134" s="16" t="s">
        <v>439</v>
      </c>
      <c r="R134" s="17" t="s">
        <v>440</v>
      </c>
      <c r="S134" s="11"/>
      <c r="T134" s="11"/>
      <c r="U134" s="10" t="str">
        <f>HYPERLINK("https://pbs.twimg.com/profile_images/1040311561552887808/pTkAtlbw.jpg","View")</f>
        <v>View</v>
      </c>
    </row>
    <row r="135" spans="1:21" ht="81.599999999999994">
      <c r="A135" s="6">
        <v>43427.153807870374</v>
      </c>
      <c r="B135" s="7" t="str">
        <f>HYPERLINK("https://twitter.com/AfectadosCoop","@AfectadosCoop")</f>
        <v>@AfectadosCoop</v>
      </c>
      <c r="C135" s="8" t="s">
        <v>441</v>
      </c>
      <c r="D135" s="9" t="s">
        <v>442</v>
      </c>
      <c r="E135" s="10" t="str">
        <f>HYPERLINK("https://twitter.com/AfectadosCoop/status/1065933352287522816","1065933352287522816")</f>
        <v>1065933352287522816</v>
      </c>
      <c r="F135" s="16" t="s">
        <v>443</v>
      </c>
      <c r="G135" s="11"/>
      <c r="H135" s="11"/>
      <c r="I135" s="12">
        <v>1</v>
      </c>
      <c r="J135" s="12">
        <v>1</v>
      </c>
      <c r="K135" s="13" t="str">
        <f>HYPERLINK("http://twitter.com","Twitter Web Client")</f>
        <v>Twitter Web Client</v>
      </c>
      <c r="L135" s="12">
        <v>262</v>
      </c>
      <c r="M135" s="12">
        <v>679</v>
      </c>
      <c r="N135" s="12">
        <v>1</v>
      </c>
      <c r="O135" s="15"/>
      <c r="P135" s="6">
        <v>43152.960879629631</v>
      </c>
      <c r="Q135" s="16" t="s">
        <v>28</v>
      </c>
      <c r="R135" s="17" t="s">
        <v>446</v>
      </c>
      <c r="S135" s="14" t="s">
        <v>447</v>
      </c>
      <c r="T135" s="11"/>
      <c r="U135" s="10" t="str">
        <f>HYPERLINK("https://pbs.twimg.com/profile_images/966574929511682049/JXDRw6UJ.jpg","View")</f>
        <v>View</v>
      </c>
    </row>
    <row r="136" spans="1:21" ht="40.799999999999997">
      <c r="A136" s="6">
        <v>43427.152777777781</v>
      </c>
      <c r="B136" s="7" t="str">
        <f>HYPERLINK("https://twitter.com/europapress_tv","@europapress_tv")</f>
        <v>@europapress_tv</v>
      </c>
      <c r="C136" s="8" t="s">
        <v>449</v>
      </c>
      <c r="D136" s="9" t="s">
        <v>450</v>
      </c>
      <c r="E136" s="10" t="str">
        <f>HYPERLINK("https://twitter.com/europapress_tv/status/1065932976645701633","1065932976645701633")</f>
        <v>1065932976645701633</v>
      </c>
      <c r="F136" s="14" t="s">
        <v>451</v>
      </c>
      <c r="G136" s="14" t="s">
        <v>452</v>
      </c>
      <c r="H136" s="11"/>
      <c r="I136" s="12">
        <v>1</v>
      </c>
      <c r="J136" s="12">
        <v>0</v>
      </c>
      <c r="K136" s="13" t="str">
        <f>HYPERLINK("https://studio.twitter.com","Media Studio")</f>
        <v>Media Studio</v>
      </c>
      <c r="L136" s="12">
        <v>10431</v>
      </c>
      <c r="M136" s="12">
        <v>447</v>
      </c>
      <c r="N136" s="12">
        <v>230</v>
      </c>
      <c r="O136" s="18" t="s">
        <v>52</v>
      </c>
      <c r="P136" s="6">
        <v>41087.131342592591</v>
      </c>
      <c r="Q136" s="16" t="s">
        <v>28</v>
      </c>
      <c r="R136" s="17" t="s">
        <v>456</v>
      </c>
      <c r="S136" s="14" t="s">
        <v>457</v>
      </c>
      <c r="T136" s="11"/>
      <c r="U136" s="10" t="str">
        <f>HYPERLINK("https://pbs.twimg.com/profile_images/520566141542887424/kS5nICev.jpeg","View")</f>
        <v>View</v>
      </c>
    </row>
    <row r="137" spans="1:21" ht="20.399999999999999">
      <c r="A137" s="6">
        <v>43427.152453703704</v>
      </c>
      <c r="B137" s="7" t="str">
        <f>HYPERLINK("https://twitter.com/MonikaDiethelm","@MonikaDiethelm")</f>
        <v>@MonikaDiethelm</v>
      </c>
      <c r="C137" s="8" t="s">
        <v>950</v>
      </c>
      <c r="D137" s="9" t="s">
        <v>951</v>
      </c>
      <c r="E137" s="10" t="str">
        <f>HYPERLINK("https://twitter.com/MonikaDiethelm/status/1065932859620364288","1065932859620364288")</f>
        <v>1065932859620364288</v>
      </c>
      <c r="F137" s="14" t="s">
        <v>952</v>
      </c>
      <c r="G137" s="11"/>
      <c r="H137" s="11"/>
      <c r="I137" s="12">
        <v>0</v>
      </c>
      <c r="J137" s="12">
        <v>0</v>
      </c>
      <c r="K137" s="13" t="str">
        <f>HYPERLINK("http://twitter.com/download/iphone","Twitter for iPhone")</f>
        <v>Twitter for iPhone</v>
      </c>
      <c r="L137" s="12">
        <v>1170</v>
      </c>
      <c r="M137" s="12">
        <v>283</v>
      </c>
      <c r="N137" s="12">
        <v>9</v>
      </c>
      <c r="O137" s="15"/>
      <c r="P137" s="6">
        <v>41515.506226851852</v>
      </c>
      <c r="Q137" s="11"/>
      <c r="R137" s="19"/>
      <c r="S137" s="11"/>
      <c r="T137" s="11"/>
      <c r="U137" s="10" t="str">
        <f>HYPERLINK("https://pbs.twimg.com/profile_images/964640633142079488/7w_Sopvn.jpg","View")</f>
        <v>View</v>
      </c>
    </row>
    <row r="138" spans="1:21" ht="30.6">
      <c r="A138" s="6">
        <v>43427.151238425926</v>
      </c>
      <c r="B138" s="7" t="str">
        <f>HYPERLINK("https://twitter.com/bergabil94","@bergabil94")</f>
        <v>@bergabil94</v>
      </c>
      <c r="C138" s="8" t="s">
        <v>958</v>
      </c>
      <c r="D138" s="9" t="s">
        <v>959</v>
      </c>
      <c r="E138" s="10" t="str">
        <f>HYPERLINK("https://twitter.com/bergabil94/status/1065932419608526848","1065932419608526848")</f>
        <v>1065932419608526848</v>
      </c>
      <c r="F138" s="14" t="s">
        <v>960</v>
      </c>
      <c r="G138" s="11"/>
      <c r="H138" s="11"/>
      <c r="I138" s="12">
        <v>0</v>
      </c>
      <c r="J138" s="12">
        <v>0</v>
      </c>
      <c r="K138" s="13" t="str">
        <f>HYPERLINK("https://ifttt.com","IFTTT")</f>
        <v>IFTTT</v>
      </c>
      <c r="L138" s="12">
        <v>64</v>
      </c>
      <c r="M138" s="12">
        <v>51</v>
      </c>
      <c r="N138" s="12">
        <v>3</v>
      </c>
      <c r="O138" s="15"/>
      <c r="P138" s="6">
        <v>42758.047662037032</v>
      </c>
      <c r="Q138" s="16" t="s">
        <v>87</v>
      </c>
      <c r="R138" s="17" t="s">
        <v>961</v>
      </c>
      <c r="S138" s="11"/>
      <c r="T138" s="11"/>
      <c r="U138" s="10" t="str">
        <f>HYPERLINK("https://pbs.twimg.com/profile_images/823457736675459073/c35uioBB.jpg","View")</f>
        <v>View</v>
      </c>
    </row>
    <row r="139" spans="1:21" ht="20.399999999999999">
      <c r="A139" s="6">
        <v>43427.15115740741</v>
      </c>
      <c r="B139" s="7" t="str">
        <f>HYPERLINK("https://twitter.com/cuber_9","@cuber_9")</f>
        <v>@cuber_9</v>
      </c>
      <c r="C139" s="8" t="s">
        <v>966</v>
      </c>
      <c r="D139" s="9" t="s">
        <v>625</v>
      </c>
      <c r="E139" s="10" t="str">
        <f>HYPERLINK("https://twitter.com/cuber_9/status/1065932388910415872","1065932388910415872")</f>
        <v>1065932388910415872</v>
      </c>
      <c r="F139" s="14" t="s">
        <v>969</v>
      </c>
      <c r="G139" s="11"/>
      <c r="H139" s="11"/>
      <c r="I139" s="12">
        <v>0</v>
      </c>
      <c r="J139" s="12">
        <v>0</v>
      </c>
      <c r="K139" s="13" t="str">
        <f>HYPERLINK("http://twitter.com/download/android","Twitter for Android")</f>
        <v>Twitter for Android</v>
      </c>
      <c r="L139" s="12">
        <v>1111</v>
      </c>
      <c r="M139" s="12">
        <v>1985</v>
      </c>
      <c r="N139" s="12">
        <v>12</v>
      </c>
      <c r="O139" s="15"/>
      <c r="P139" s="6">
        <v>41488.289571759262</v>
      </c>
      <c r="Q139" s="11"/>
      <c r="R139" s="17" t="s">
        <v>972</v>
      </c>
      <c r="S139" s="11"/>
      <c r="T139" s="11"/>
      <c r="U139" s="10" t="str">
        <f>HYPERLINK("https://pbs.twimg.com/profile_images/378800000230693754/4d191e9b8d4e66e2229cd874622e9c1f.jpeg","View")</f>
        <v>View</v>
      </c>
    </row>
    <row r="140" spans="1:21" ht="30.6">
      <c r="A140" s="6">
        <v>43427.150127314817</v>
      </c>
      <c r="B140" s="7" t="str">
        <f>HYPERLINK("https://twitter.com/AitonaCabreado","@AitonaCabreado")</f>
        <v>@AitonaCabreado</v>
      </c>
      <c r="C140" s="8" t="s">
        <v>975</v>
      </c>
      <c r="D140" s="9" t="s">
        <v>977</v>
      </c>
      <c r="E140" s="10" t="str">
        <f>HYPERLINK("https://twitter.com/AitonaCabreado/status/1065932015386722304","1065932015386722304")</f>
        <v>1065932015386722304</v>
      </c>
      <c r="F140" s="14" t="s">
        <v>979</v>
      </c>
      <c r="G140" s="11"/>
      <c r="H140" s="11"/>
      <c r="I140" s="12">
        <v>2</v>
      </c>
      <c r="J140" s="12">
        <v>0</v>
      </c>
      <c r="K140" s="13" t="str">
        <f t="shared" ref="K140:K142" si="21">HYPERLINK("http://twitter.com","Twitter Web Client")</f>
        <v>Twitter Web Client</v>
      </c>
      <c r="L140" s="12">
        <v>1403</v>
      </c>
      <c r="M140" s="12">
        <v>995</v>
      </c>
      <c r="N140" s="12">
        <v>22</v>
      </c>
      <c r="O140" s="15"/>
      <c r="P140" s="6">
        <v>41096.164826388893</v>
      </c>
      <c r="Q140" s="16" t="s">
        <v>982</v>
      </c>
      <c r="R140" s="17" t="s">
        <v>983</v>
      </c>
      <c r="S140" s="11"/>
      <c r="T140" s="11"/>
      <c r="U140" s="10" t="str">
        <f>HYPERLINK("https://pbs.twimg.com/profile_images/1036207495444946944/89JG5auj.jpg","View")</f>
        <v>View</v>
      </c>
    </row>
    <row r="141" spans="1:21" ht="102">
      <c r="A141" s="6">
        <v>43427.149571759262</v>
      </c>
      <c r="B141" s="7" t="str">
        <f>HYPERLINK("https://twitter.com/AfectadosCoop","@AfectadosCoop")</f>
        <v>@AfectadosCoop</v>
      </c>
      <c r="C141" s="8" t="s">
        <v>441</v>
      </c>
      <c r="D141" s="9" t="s">
        <v>460</v>
      </c>
      <c r="E141" s="10" t="str">
        <f>HYPERLINK("https://twitter.com/AfectadosCoop/status/1065931816379523072","1065931816379523072")</f>
        <v>1065931816379523072</v>
      </c>
      <c r="F141" s="14" t="s">
        <v>463</v>
      </c>
      <c r="G141" s="14" t="s">
        <v>464</v>
      </c>
      <c r="H141" s="11"/>
      <c r="I141" s="12">
        <v>1</v>
      </c>
      <c r="J141" s="12">
        <v>1</v>
      </c>
      <c r="K141" s="13" t="str">
        <f t="shared" si="21"/>
        <v>Twitter Web Client</v>
      </c>
      <c r="L141" s="12">
        <v>262</v>
      </c>
      <c r="M141" s="12">
        <v>679</v>
      </c>
      <c r="N141" s="12">
        <v>1</v>
      </c>
      <c r="O141" s="15"/>
      <c r="P141" s="6">
        <v>43152.960879629631</v>
      </c>
      <c r="Q141" s="16" t="s">
        <v>28</v>
      </c>
      <c r="R141" s="17" t="s">
        <v>446</v>
      </c>
      <c r="S141" s="14" t="s">
        <v>447</v>
      </c>
      <c r="T141" s="11"/>
      <c r="U141" s="10" t="str">
        <f>HYPERLINK("https://pbs.twimg.com/profile_images/966574929511682049/JXDRw6UJ.jpg","View")</f>
        <v>View</v>
      </c>
    </row>
    <row r="142" spans="1:21" ht="40.799999999999997">
      <c r="A142" s="6">
        <v>43427.147743055553</v>
      </c>
      <c r="B142" s="7" t="str">
        <f>HYPERLINK("https://twitter.com/Carlosmperalta","@Carlosmperalta")</f>
        <v>@Carlosmperalta</v>
      </c>
      <c r="C142" s="8" t="s">
        <v>991</v>
      </c>
      <c r="D142" s="9" t="s">
        <v>768</v>
      </c>
      <c r="E142" s="10" t="str">
        <f>HYPERLINK("https://twitter.com/Carlosmperalta/status/1065931151162949632","1065931151162949632")</f>
        <v>1065931151162949632</v>
      </c>
      <c r="F142" s="14" t="s">
        <v>529</v>
      </c>
      <c r="G142" s="11"/>
      <c r="H142" s="11"/>
      <c r="I142" s="12">
        <v>0</v>
      </c>
      <c r="J142" s="12">
        <v>1</v>
      </c>
      <c r="K142" s="13" t="str">
        <f t="shared" si="21"/>
        <v>Twitter Web Client</v>
      </c>
      <c r="L142" s="12">
        <v>133631</v>
      </c>
      <c r="M142" s="12">
        <v>817</v>
      </c>
      <c r="N142" s="12">
        <v>272</v>
      </c>
      <c r="O142" s="15"/>
      <c r="P142" s="6">
        <v>40806.327905092592</v>
      </c>
      <c r="Q142" s="16" t="s">
        <v>994</v>
      </c>
      <c r="R142" s="17" t="s">
        <v>995</v>
      </c>
      <c r="S142" s="11"/>
      <c r="T142" s="11"/>
      <c r="U142" s="10" t="str">
        <f>HYPERLINK("https://pbs.twimg.com/profile_images/3482494942/ad4b64149e2cb195b79c5120b5014263.jpeg","View")</f>
        <v>View</v>
      </c>
    </row>
    <row r="143" spans="1:21" ht="40.799999999999997">
      <c r="A143" s="6">
        <v>43427.147106481483</v>
      </c>
      <c r="B143" s="7" t="str">
        <f>HYPERLINK("https://twitter.com/ahorapodemos","@ahorapodemos")</f>
        <v>@ahorapodemos</v>
      </c>
      <c r="C143" s="8" t="s">
        <v>48</v>
      </c>
      <c r="D143" s="9" t="s">
        <v>469</v>
      </c>
      <c r="E143" s="10" t="str">
        <f>HYPERLINK("https://twitter.com/ahorapodemos/status/1065930921151528960","1065930921151528960")</f>
        <v>1065930921151528960</v>
      </c>
      <c r="F143" s="11"/>
      <c r="G143" s="14" t="s">
        <v>472</v>
      </c>
      <c r="H143" s="11"/>
      <c r="I143" s="12">
        <v>120</v>
      </c>
      <c r="J143" s="12">
        <v>201</v>
      </c>
      <c r="K143" s="13" t="str">
        <f>HYPERLINK("https://studio.twitter.com","Media Studio")</f>
        <v>Media Studio</v>
      </c>
      <c r="L143" s="12">
        <v>1338988</v>
      </c>
      <c r="M143" s="12">
        <v>1529</v>
      </c>
      <c r="N143" s="12">
        <v>5654</v>
      </c>
      <c r="O143" s="18" t="s">
        <v>52</v>
      </c>
      <c r="P143" s="6">
        <v>41651.201979166668</v>
      </c>
      <c r="Q143" s="16" t="s">
        <v>54</v>
      </c>
      <c r="R143" s="17" t="s">
        <v>56</v>
      </c>
      <c r="S143" s="14" t="s">
        <v>58</v>
      </c>
      <c r="T143" s="11"/>
      <c r="U143" s="10" t="str">
        <f>HYPERLINK("https://pbs.twimg.com/profile_images/1036536413548892160/J0K-j7cz.jpg","View")</f>
        <v>View</v>
      </c>
    </row>
    <row r="144" spans="1:21" ht="51">
      <c r="A144" s="6">
        <v>43427.146655092598</v>
      </c>
      <c r="B144" s="7" t="str">
        <f>HYPERLINK("https://twitter.com/comentaconjose","@comentaconjose")</f>
        <v>@comentaconjose</v>
      </c>
      <c r="C144" s="8" t="s">
        <v>473</v>
      </c>
      <c r="D144" s="9" t="s">
        <v>474</v>
      </c>
      <c r="E144" s="10" t="str">
        <f>HYPERLINK("https://twitter.com/comentaconjose/status/1065930757095469057","1065930757095469057")</f>
        <v>1065930757095469057</v>
      </c>
      <c r="F144" s="16" t="s">
        <v>477</v>
      </c>
      <c r="G144" s="11"/>
      <c r="H144" s="11"/>
      <c r="I144" s="12">
        <v>0</v>
      </c>
      <c r="J144" s="12">
        <v>0</v>
      </c>
      <c r="K144" s="13" t="str">
        <f>HYPERLINK("http://twitter.com","Twitter Web Client")</f>
        <v>Twitter Web Client</v>
      </c>
      <c r="L144" s="12">
        <v>309932</v>
      </c>
      <c r="M144" s="12">
        <v>170185</v>
      </c>
      <c r="N144" s="12">
        <v>662</v>
      </c>
      <c r="O144" s="15"/>
      <c r="P144" s="6">
        <v>41028.426041666666</v>
      </c>
      <c r="Q144" s="16" t="s">
        <v>478</v>
      </c>
      <c r="R144" s="17" t="s">
        <v>479</v>
      </c>
      <c r="S144" s="14" t="s">
        <v>480</v>
      </c>
      <c r="T144" s="11"/>
      <c r="U144" s="10" t="str">
        <f>HYPERLINK("https://pbs.twimg.com/profile_images/936301220297363456/z0cOp2hD.jpg","View")</f>
        <v>View</v>
      </c>
    </row>
    <row r="145" spans="1:21" ht="40.799999999999997">
      <c r="A145" s="6">
        <v>43427.146168981482</v>
      </c>
      <c r="B145" s="7" t="str">
        <f>HYPERLINK("https://twitter.com/AsocForoLC","@AsocForoLC")</f>
        <v>@AsocForoLC</v>
      </c>
      <c r="C145" s="8" t="s">
        <v>1035</v>
      </c>
      <c r="D145" s="9" t="s">
        <v>1036</v>
      </c>
      <c r="E145" s="10" t="str">
        <f>HYPERLINK("https://twitter.com/AsocForoLC/status/1065930580913807361","1065930580913807361")</f>
        <v>1065930580913807361</v>
      </c>
      <c r="F145" s="14" t="s">
        <v>1037</v>
      </c>
      <c r="G145" s="11"/>
      <c r="H145" s="11"/>
      <c r="I145" s="12">
        <v>0</v>
      </c>
      <c r="J145" s="12">
        <v>0</v>
      </c>
      <c r="K145" s="13" t="str">
        <f>HYPERLINK("http://www.facebook.com/twitter","Facebook")</f>
        <v>Facebook</v>
      </c>
      <c r="L145" s="12">
        <v>298</v>
      </c>
      <c r="M145" s="12">
        <v>540</v>
      </c>
      <c r="N145" s="12">
        <v>4</v>
      </c>
      <c r="O145" s="15"/>
      <c r="P145" s="6">
        <v>42191.196030092593</v>
      </c>
      <c r="Q145" s="16" t="s">
        <v>28</v>
      </c>
      <c r="R145" s="17" t="s">
        <v>1040</v>
      </c>
      <c r="S145" s="14" t="s">
        <v>1041</v>
      </c>
      <c r="T145" s="11"/>
      <c r="U145" s="10" t="str">
        <f>HYPERLINK("https://pbs.twimg.com/profile_images/923139336572428289/WNCTobzG.jpg","View")</f>
        <v>View</v>
      </c>
    </row>
    <row r="146" spans="1:21" ht="40.799999999999997">
      <c r="A146" s="6">
        <v>43427.14434027778</v>
      </c>
      <c r="B146" s="7" t="str">
        <f>HYPERLINK("https://twitter.com/comentaconjose","@comentaconjose")</f>
        <v>@comentaconjose</v>
      </c>
      <c r="C146" s="8" t="s">
        <v>473</v>
      </c>
      <c r="D146" s="9" t="s">
        <v>592</v>
      </c>
      <c r="E146" s="10" t="str">
        <f>HYPERLINK("https://twitter.com/comentaconjose/status/1065929917769162754","1065929917769162754")</f>
        <v>1065929917769162754</v>
      </c>
      <c r="F146" s="14" t="s">
        <v>75</v>
      </c>
      <c r="G146" s="11"/>
      <c r="H146" s="11"/>
      <c r="I146" s="12">
        <v>0</v>
      </c>
      <c r="J146" s="12">
        <v>0</v>
      </c>
      <c r="K146" s="13" t="str">
        <f t="shared" ref="K146:K147" si="22">HYPERLINK("http://twitter.com","Twitter Web Client")</f>
        <v>Twitter Web Client</v>
      </c>
      <c r="L146" s="12">
        <v>309932</v>
      </c>
      <c r="M146" s="12">
        <v>170185</v>
      </c>
      <c r="N146" s="12">
        <v>662</v>
      </c>
      <c r="O146" s="15"/>
      <c r="P146" s="6">
        <v>41028.426041666666</v>
      </c>
      <c r="Q146" s="16" t="s">
        <v>478</v>
      </c>
      <c r="R146" s="17" t="s">
        <v>479</v>
      </c>
      <c r="S146" s="14" t="s">
        <v>480</v>
      </c>
      <c r="T146" s="11"/>
      <c r="U146" s="10" t="str">
        <f>HYPERLINK("https://pbs.twimg.com/profile_images/936301220297363456/z0cOp2hD.jpg","View")</f>
        <v>View</v>
      </c>
    </row>
    <row r="147" spans="1:21" ht="40.799999999999997">
      <c r="A147" s="6">
        <v>43427.144097222219</v>
      </c>
      <c r="B147" s="7" t="str">
        <f>HYPERLINK("https://twitter.com/Pablo_Iglesias_","@Pablo_Iglesias_")</f>
        <v>@Pablo_Iglesias_</v>
      </c>
      <c r="C147" s="8" t="s">
        <v>383</v>
      </c>
      <c r="D147" s="9" t="s">
        <v>1049</v>
      </c>
      <c r="E147" s="10" t="str">
        <f>HYPERLINK("https://twitter.com/Pablo_Iglesias_/status/1065929831806840832","1065929831806840832")</f>
        <v>1065929831806840832</v>
      </c>
      <c r="F147" s="14" t="s">
        <v>1050</v>
      </c>
      <c r="G147" s="14" t="s">
        <v>1052</v>
      </c>
      <c r="H147" s="11"/>
      <c r="I147" s="12">
        <v>43</v>
      </c>
      <c r="J147" s="12">
        <v>73</v>
      </c>
      <c r="K147" s="13" t="str">
        <f t="shared" si="22"/>
        <v>Twitter Web Client</v>
      </c>
      <c r="L147" s="12">
        <v>2240182</v>
      </c>
      <c r="M147" s="12">
        <v>2735</v>
      </c>
      <c r="N147" s="12">
        <v>8469</v>
      </c>
      <c r="O147" s="18" t="s">
        <v>52</v>
      </c>
      <c r="P147" s="6">
        <v>40351.200300925928</v>
      </c>
      <c r="Q147" s="16" t="s">
        <v>38</v>
      </c>
      <c r="R147" s="17" t="s">
        <v>389</v>
      </c>
      <c r="S147" s="14" t="s">
        <v>58</v>
      </c>
      <c r="T147" s="11"/>
      <c r="U147" s="10" t="str">
        <f>HYPERLINK("https://pbs.twimg.com/profile_images/902223370569338884/dL2D2A5P.jpg","View")</f>
        <v>View</v>
      </c>
    </row>
    <row r="148" spans="1:21" ht="51">
      <c r="A148" s="6">
        <v>43427.143935185188</v>
      </c>
      <c r="B148" s="7" t="str">
        <f>HYPERLINK("https://twitter.com/degotagot","@degotagot")</f>
        <v>@degotagot</v>
      </c>
      <c r="C148" s="8" t="s">
        <v>1056</v>
      </c>
      <c r="D148" s="9" t="s">
        <v>1057</v>
      </c>
      <c r="E148" s="10" t="str">
        <f>HYPERLINK("https://twitter.com/degotagot/status/1065929772939821056","1065929772939821056")</f>
        <v>1065929772939821056</v>
      </c>
      <c r="F148" s="16" t="s">
        <v>1058</v>
      </c>
      <c r="G148" s="11"/>
      <c r="H148" s="11"/>
      <c r="I148" s="12">
        <v>0</v>
      </c>
      <c r="J148" s="12">
        <v>0</v>
      </c>
      <c r="K148" s="13" t="str">
        <f>HYPERLINK("http://twitter.com/#!/download/ipad","Twitter for iPad")</f>
        <v>Twitter for iPad</v>
      </c>
      <c r="L148" s="12">
        <v>253</v>
      </c>
      <c r="M148" s="12">
        <v>629</v>
      </c>
      <c r="N148" s="12">
        <v>1</v>
      </c>
      <c r="O148" s="15"/>
      <c r="P148" s="6">
        <v>42870.184293981481</v>
      </c>
      <c r="Q148" s="16" t="s">
        <v>28</v>
      </c>
      <c r="R148" s="17" t="s">
        <v>1062</v>
      </c>
      <c r="S148" s="11"/>
      <c r="T148" s="11"/>
      <c r="U148" s="10" t="str">
        <f>HYPERLINK("https://pbs.twimg.com/profile_images/988035235064500224/C5ve9lXv.jpg","View")</f>
        <v>View</v>
      </c>
    </row>
    <row r="149" spans="1:21" ht="30.6">
      <c r="A149" s="6">
        <v>43427.142916666664</v>
      </c>
      <c r="B149" s="7" t="str">
        <f>HYPERLINK("https://twitter.com/SesionControl","@SesionControl")</f>
        <v>@SesionControl</v>
      </c>
      <c r="C149" s="8" t="s">
        <v>1065</v>
      </c>
      <c r="D149" s="9" t="s">
        <v>1066</v>
      </c>
      <c r="E149" s="10" t="str">
        <f>HYPERLINK("https://twitter.com/SesionControl/status/1065929405615276032","1065929405615276032")</f>
        <v>1065929405615276032</v>
      </c>
      <c r="F149" s="14" t="s">
        <v>1069</v>
      </c>
      <c r="G149" s="11"/>
      <c r="H149" s="11"/>
      <c r="I149" s="12">
        <v>0</v>
      </c>
      <c r="J149" s="12">
        <v>0</v>
      </c>
      <c r="K149" s="13" t="str">
        <f>HYPERLINK("http://twitter.com","Twitter Web Client")</f>
        <v>Twitter Web Client</v>
      </c>
      <c r="L149" s="12">
        <v>4296</v>
      </c>
      <c r="M149" s="12">
        <v>2350</v>
      </c>
      <c r="N149" s="12">
        <v>50</v>
      </c>
      <c r="O149" s="15"/>
      <c r="P149" s="6">
        <v>40996.664664351854</v>
      </c>
      <c r="Q149" s="16" t="s">
        <v>28</v>
      </c>
      <c r="R149" s="17" t="s">
        <v>1072</v>
      </c>
      <c r="S149" s="14" t="s">
        <v>1073</v>
      </c>
      <c r="T149" s="11"/>
      <c r="U149" s="10" t="str">
        <f>HYPERLINK("https://pbs.twimg.com/profile_images/1989036474/descarga.jpeg","View")</f>
        <v>View</v>
      </c>
    </row>
    <row r="150" spans="1:21" ht="51">
      <c r="A150" s="6">
        <v>43427.142685185187</v>
      </c>
      <c r="B150" s="7" t="str">
        <f>HYPERLINK("https://twitter.com/josep_turu","@josep_turu")</f>
        <v>@josep_turu</v>
      </c>
      <c r="C150" s="8" t="s">
        <v>481</v>
      </c>
      <c r="D150" s="9" t="s">
        <v>482</v>
      </c>
      <c r="E150" s="10" t="str">
        <f>HYPERLINK("https://twitter.com/josep_turu/status/1065929320659603456","1065929320659603456")</f>
        <v>1065929320659603456</v>
      </c>
      <c r="F150" s="11"/>
      <c r="G150" s="11"/>
      <c r="H150" s="11"/>
      <c r="I150" s="12">
        <v>0</v>
      </c>
      <c r="J150" s="12">
        <v>1</v>
      </c>
      <c r="K150" s="13" t="str">
        <f>HYPERLINK("http://twitter.com/download/android","Twitter for Android")</f>
        <v>Twitter for Android</v>
      </c>
      <c r="L150" s="12">
        <v>254</v>
      </c>
      <c r="M150" s="12">
        <v>432</v>
      </c>
      <c r="N150" s="12">
        <v>0</v>
      </c>
      <c r="O150" s="15"/>
      <c r="P150" s="6">
        <v>43327.486666666664</v>
      </c>
      <c r="Q150" s="16" t="s">
        <v>483</v>
      </c>
      <c r="R150" s="17" t="s">
        <v>484</v>
      </c>
      <c r="S150" s="14" t="s">
        <v>485</v>
      </c>
      <c r="T150" s="11"/>
      <c r="U150" s="10" t="str">
        <f>HYPERLINK("https://pbs.twimg.com/profile_images/1031129221714923520/Svss_bB9.jpg","View")</f>
        <v>View</v>
      </c>
    </row>
    <row r="151" spans="1:21" ht="40.799999999999997">
      <c r="A151" s="6">
        <v>43427.142083333332</v>
      </c>
      <c r="B151" s="7" t="str">
        <f>HYPERLINK("https://twitter.com/federacionaice","@federacionaice")</f>
        <v>@federacionaice</v>
      </c>
      <c r="C151" s="8" t="s">
        <v>425</v>
      </c>
      <c r="D151" s="9" t="s">
        <v>1079</v>
      </c>
      <c r="E151" s="10" t="str">
        <f>HYPERLINK("https://twitter.com/federacionaice/status/1065929101586907136","1065929101586907136")</f>
        <v>1065929101586907136</v>
      </c>
      <c r="F151" s="14" t="s">
        <v>1082</v>
      </c>
      <c r="G151" s="11"/>
      <c r="H151" s="11"/>
      <c r="I151" s="12">
        <v>1</v>
      </c>
      <c r="J151" s="12">
        <v>1</v>
      </c>
      <c r="K151" s="13" t="str">
        <f>HYPERLINK("http://www.facebook.com/twitter","Facebook")</f>
        <v>Facebook</v>
      </c>
      <c r="L151" s="12">
        <v>1172</v>
      </c>
      <c r="M151" s="12">
        <v>163</v>
      </c>
      <c r="N151" s="12">
        <v>38</v>
      </c>
      <c r="O151" s="15"/>
      <c r="P151" s="6">
        <v>41205.283125000002</v>
      </c>
      <c r="Q151" s="16" t="s">
        <v>256</v>
      </c>
      <c r="R151" s="17" t="s">
        <v>430</v>
      </c>
      <c r="S151" s="14" t="s">
        <v>431</v>
      </c>
      <c r="T151" s="11"/>
      <c r="U151" s="10" t="str">
        <f>HYPERLINK("https://pbs.twimg.com/profile_images/2758658504/fdefcb5cd9442b73a675a3d071bd29e3.jpeg","View")</f>
        <v>View</v>
      </c>
    </row>
    <row r="152" spans="1:21" ht="71.400000000000006">
      <c r="A152" s="6">
        <v>43427.14130787037</v>
      </c>
      <c r="B152" s="7" t="str">
        <f>HYPERLINK("https://twitter.com/CarlosDoblado","@CarlosDoblado")</f>
        <v>@CarlosDoblado</v>
      </c>
      <c r="C152" s="8" t="s">
        <v>487</v>
      </c>
      <c r="D152" s="9" t="s">
        <v>488</v>
      </c>
      <c r="E152" s="10" t="str">
        <f>HYPERLINK("https://twitter.com/CarlosDoblado/status/1065928819037663232","1065928819037663232")</f>
        <v>1065928819037663232</v>
      </c>
      <c r="F152" s="16" t="s">
        <v>489</v>
      </c>
      <c r="G152" s="11"/>
      <c r="H152" s="11"/>
      <c r="I152" s="12">
        <v>2</v>
      </c>
      <c r="J152" s="12">
        <v>2</v>
      </c>
      <c r="K152" s="13" t="str">
        <f>HYPERLINK("http://twitter.com","Twitter Web Client")</f>
        <v>Twitter Web Client</v>
      </c>
      <c r="L152" s="12">
        <v>16463</v>
      </c>
      <c r="M152" s="12">
        <v>542</v>
      </c>
      <c r="N152" s="12">
        <v>507</v>
      </c>
      <c r="O152" s="15"/>
      <c r="P152" s="6">
        <v>40233.238692129627</v>
      </c>
      <c r="Q152" s="14" t="s">
        <v>490</v>
      </c>
      <c r="R152" s="17" t="s">
        <v>491</v>
      </c>
      <c r="S152" s="14" t="s">
        <v>492</v>
      </c>
      <c r="T152" s="11"/>
      <c r="U152" s="10" t="str">
        <f>HYPERLINK("https://pbs.twimg.com/profile_images/961377629147402240/TB3DsIJY.jpg","View")</f>
        <v>View</v>
      </c>
    </row>
    <row r="153" spans="1:21" ht="40.799999999999997">
      <c r="A153" s="6">
        <v>43427.140185185184</v>
      </c>
      <c r="B153" s="7" t="str">
        <f>HYPERLINK("https://twitter.com/cntvigo","@cntvigo")</f>
        <v>@cntvigo</v>
      </c>
      <c r="C153" s="8" t="s">
        <v>1090</v>
      </c>
      <c r="D153" s="9" t="s">
        <v>1091</v>
      </c>
      <c r="E153" s="10" t="str">
        <f>HYPERLINK("https://twitter.com/cntvigo/status/1065928414450847744","1065928414450847744")</f>
        <v>1065928414450847744</v>
      </c>
      <c r="F153" s="11"/>
      <c r="G153" s="14" t="s">
        <v>1092</v>
      </c>
      <c r="H153" s="11"/>
      <c r="I153" s="12">
        <v>1</v>
      </c>
      <c r="J153" s="12">
        <v>1</v>
      </c>
      <c r="K153" s="13" t="str">
        <f>HYPERLINK("http://twitter.com/download/iphone","Twitter for iPhone")</f>
        <v>Twitter for iPhone</v>
      </c>
      <c r="L153" s="12">
        <v>791</v>
      </c>
      <c r="M153" s="12">
        <v>427</v>
      </c>
      <c r="N153" s="12">
        <v>16</v>
      </c>
      <c r="O153" s="15"/>
      <c r="P153" s="6">
        <v>42207.470983796295</v>
      </c>
      <c r="Q153" s="16" t="s">
        <v>1095</v>
      </c>
      <c r="R153" s="17" t="s">
        <v>1096</v>
      </c>
      <c r="S153" s="14" t="s">
        <v>1097</v>
      </c>
      <c r="T153" s="11"/>
      <c r="U153" s="10" t="str">
        <f>HYPERLINK("https://pbs.twimg.com/profile_images/623965684490465280/o_QcS00b.jpg","View")</f>
        <v>View</v>
      </c>
    </row>
    <row r="154" spans="1:21" ht="20.399999999999999">
      <c r="A154" s="6">
        <v>43427.139641203699</v>
      </c>
      <c r="B154" s="7" t="str">
        <f>HYPERLINK("https://twitter.com/sextaNoticias","@sextaNoticias")</f>
        <v>@sextaNoticias</v>
      </c>
      <c r="C154" s="8" t="s">
        <v>494</v>
      </c>
      <c r="D154" s="9" t="s">
        <v>495</v>
      </c>
      <c r="E154" s="10" t="str">
        <f>HYPERLINK("https://twitter.com/sextaNoticias/status/1065928217620557825","1065928217620557825")</f>
        <v>1065928217620557825</v>
      </c>
      <c r="F154" s="14" t="s">
        <v>496</v>
      </c>
      <c r="G154" s="11"/>
      <c r="H154" s="11"/>
      <c r="I154" s="12">
        <v>5</v>
      </c>
      <c r="J154" s="12">
        <v>4</v>
      </c>
      <c r="K154" s="13" t="str">
        <f>HYPERLINK("http://dogtrack.es","DogTrack_Oficial")</f>
        <v>DogTrack_Oficial</v>
      </c>
      <c r="L154" s="12">
        <v>1108908</v>
      </c>
      <c r="M154" s="12">
        <v>279</v>
      </c>
      <c r="N154" s="12">
        <v>7292</v>
      </c>
      <c r="O154" s="18" t="s">
        <v>52</v>
      </c>
      <c r="P154" s="6">
        <v>40099.239328703705</v>
      </c>
      <c r="Q154" s="11"/>
      <c r="R154" s="17" t="s">
        <v>497</v>
      </c>
      <c r="S154" s="14" t="s">
        <v>498</v>
      </c>
      <c r="T154" s="11"/>
      <c r="U154" s="10" t="str">
        <f>HYPERLINK("https://pbs.twimg.com/profile_images/898970208551022592/hh3ITSK-.jpg","View")</f>
        <v>View</v>
      </c>
    </row>
    <row r="155" spans="1:21" ht="51">
      <c r="A155" s="6">
        <v>43427.139155092591</v>
      </c>
      <c r="B155" s="7" t="str">
        <f>HYPERLINK("https://twitter.com/maequez67","@maequez67")</f>
        <v>@maequez67</v>
      </c>
      <c r="C155" s="8" t="s">
        <v>499</v>
      </c>
      <c r="D155" s="9" t="s">
        <v>501</v>
      </c>
      <c r="E155" s="10" t="str">
        <f>HYPERLINK("https://twitter.com/maequez67/status/1065928040901984256","1065928040901984256")</f>
        <v>1065928040901984256</v>
      </c>
      <c r="F155" s="14" t="s">
        <v>371</v>
      </c>
      <c r="G155" s="11"/>
      <c r="H155" s="11"/>
      <c r="I155" s="12">
        <v>2</v>
      </c>
      <c r="J155" s="12">
        <v>0</v>
      </c>
      <c r="K155" s="13" t="str">
        <f>HYPERLINK("http://twitter.com/download/android","Twitter for Android")</f>
        <v>Twitter for Android</v>
      </c>
      <c r="L155" s="12">
        <v>835</v>
      </c>
      <c r="M155" s="12">
        <v>1542</v>
      </c>
      <c r="N155" s="12">
        <v>21</v>
      </c>
      <c r="O155" s="15"/>
      <c r="P155" s="6">
        <v>42159.029027777782</v>
      </c>
      <c r="Q155" s="16" t="s">
        <v>93</v>
      </c>
      <c r="R155" s="17" t="s">
        <v>505</v>
      </c>
      <c r="S155" s="11"/>
      <c r="T155" s="11"/>
      <c r="U155" s="10" t="str">
        <f>HYPERLINK("https://pbs.twimg.com/profile_images/1015110220392140806/-GGd8J_u.jpg","View")</f>
        <v>View</v>
      </c>
    </row>
    <row r="156" spans="1:21" ht="61.2">
      <c r="A156" s="6">
        <v>43427.138287037036</v>
      </c>
      <c r="B156" s="7" t="str">
        <f>HYPERLINK("https://twitter.com/varelavito","@varelavito")</f>
        <v>@varelavito</v>
      </c>
      <c r="C156" s="8" t="s">
        <v>508</v>
      </c>
      <c r="D156" s="9" t="s">
        <v>509</v>
      </c>
      <c r="E156" s="10" t="str">
        <f>HYPERLINK("https://twitter.com/varelavito/status/1065927726337597442","1065927726337597442")</f>
        <v>1065927726337597442</v>
      </c>
      <c r="F156" s="16" t="s">
        <v>511</v>
      </c>
      <c r="G156" s="11"/>
      <c r="H156" s="11"/>
      <c r="I156" s="12">
        <v>0</v>
      </c>
      <c r="J156" s="12">
        <v>0</v>
      </c>
      <c r="K156" s="13" t="str">
        <f t="shared" ref="K156:K157" si="23">HYPERLINK("http://twitter.com","Twitter Web Client")</f>
        <v>Twitter Web Client</v>
      </c>
      <c r="L156" s="12">
        <v>1082</v>
      </c>
      <c r="M156" s="12">
        <v>2190</v>
      </c>
      <c r="N156" s="12">
        <v>41</v>
      </c>
      <c r="O156" s="15"/>
      <c r="P156" s="6">
        <v>40915.471608796295</v>
      </c>
      <c r="Q156" s="16" t="s">
        <v>514</v>
      </c>
      <c r="R156" s="17" t="s">
        <v>515</v>
      </c>
      <c r="S156" s="14" t="s">
        <v>516</v>
      </c>
      <c r="T156" s="11"/>
      <c r="U156" s="10" t="str">
        <f>HYPERLINK("https://pbs.twimg.com/profile_images/1053993022394978305/Ov0FAOba.jpg","View")</f>
        <v>View</v>
      </c>
    </row>
    <row r="157" spans="1:21" ht="40.799999999999997">
      <c r="A157" s="6">
        <v>43427.137881944444</v>
      </c>
      <c r="B157" s="7" t="str">
        <f>HYPERLINK("https://twitter.com/manuel_llamas","@manuel_llamas")</f>
        <v>@manuel_llamas</v>
      </c>
      <c r="C157" s="8" t="s">
        <v>1109</v>
      </c>
      <c r="D157" s="9" t="s">
        <v>1110</v>
      </c>
      <c r="E157" s="10" t="str">
        <f>HYPERLINK("https://twitter.com/manuel_llamas/status/1065927580098924545","1065927580098924545")</f>
        <v>1065927580098924545</v>
      </c>
      <c r="F157" s="14" t="s">
        <v>230</v>
      </c>
      <c r="G157" s="11"/>
      <c r="H157" s="11"/>
      <c r="I157" s="12">
        <v>19</v>
      </c>
      <c r="J157" s="12">
        <v>13</v>
      </c>
      <c r="K157" s="13" t="str">
        <f t="shared" si="23"/>
        <v>Twitter Web Client</v>
      </c>
      <c r="L157" s="12">
        <v>30912</v>
      </c>
      <c r="M157" s="12">
        <v>369</v>
      </c>
      <c r="N157" s="12">
        <v>689</v>
      </c>
      <c r="O157" s="15"/>
      <c r="P157" s="6">
        <v>40079.439305555556</v>
      </c>
      <c r="Q157" s="16" t="s">
        <v>28</v>
      </c>
      <c r="R157" s="17" t="s">
        <v>1113</v>
      </c>
      <c r="S157" s="14" t="s">
        <v>1114</v>
      </c>
      <c r="T157" s="11"/>
      <c r="U157" s="10" t="str">
        <f>HYPERLINK("https://pbs.twimg.com/profile_images/1278365489/fotoperfil.jpg","View")</f>
        <v>View</v>
      </c>
    </row>
    <row r="158" spans="1:21" ht="40.799999999999997">
      <c r="A158" s="6">
        <v>43427.137349537035</v>
      </c>
      <c r="B158" s="7" t="str">
        <f>HYPERLINK("https://twitter.com/protestona1","@protestona1")</f>
        <v>@protestona1</v>
      </c>
      <c r="C158" s="8" t="s">
        <v>521</v>
      </c>
      <c r="D158" s="9" t="s">
        <v>522</v>
      </c>
      <c r="E158" s="10" t="str">
        <f>HYPERLINK("https://twitter.com/protestona1/status/1065927384602431488","1065927384602431488")</f>
        <v>1065927384602431488</v>
      </c>
      <c r="F158" s="11"/>
      <c r="G158" s="14" t="s">
        <v>524</v>
      </c>
      <c r="H158" s="11"/>
      <c r="I158" s="12">
        <v>20</v>
      </c>
      <c r="J158" s="12">
        <v>37</v>
      </c>
      <c r="K158" s="13" t="str">
        <f>HYPERLINK("http://twitter.com/download/iphone","Twitter for iPhone")</f>
        <v>Twitter for iPhone</v>
      </c>
      <c r="L158" s="12">
        <v>151544</v>
      </c>
      <c r="M158" s="12">
        <v>2210</v>
      </c>
      <c r="N158" s="12">
        <v>4</v>
      </c>
      <c r="O158" s="15"/>
      <c r="P158" s="6">
        <v>41352.488032407404</v>
      </c>
      <c r="Q158" s="16" t="s">
        <v>132</v>
      </c>
      <c r="R158" s="17" t="s">
        <v>527</v>
      </c>
      <c r="S158" s="14" t="s">
        <v>528</v>
      </c>
      <c r="T158" s="11"/>
      <c r="U158" s="10" t="str">
        <f>HYPERLINK("https://pbs.twimg.com/profile_images/1014938895501463552/_oCE6Q1b.jpg","View")</f>
        <v>View</v>
      </c>
    </row>
    <row r="159" spans="1:21" ht="20.399999999999999">
      <c r="A159" s="6">
        <v>43427.135115740741</v>
      </c>
      <c r="B159" s="7" t="str">
        <f>HYPERLINK("https://twitter.com/lygofukisoby","@lygofukisoby")</f>
        <v>@lygofukisoby</v>
      </c>
      <c r="C159" s="8" t="s">
        <v>1123</v>
      </c>
      <c r="D159" s="9" t="s">
        <v>454</v>
      </c>
      <c r="E159" s="10" t="str">
        <f>HYPERLINK("https://twitter.com/lygofukisoby/status/1065926575911251968","1065926575911251968")</f>
        <v>1065926575911251968</v>
      </c>
      <c r="F159" s="11"/>
      <c r="G159" s="14" t="s">
        <v>1127</v>
      </c>
      <c r="H159" s="11"/>
      <c r="I159" s="12">
        <v>0</v>
      </c>
      <c r="J159" s="12">
        <v>0</v>
      </c>
      <c r="K159" s="13" t="str">
        <f>HYPERLINK("https://ifttt.com","IFTTT")</f>
        <v>IFTTT</v>
      </c>
      <c r="L159" s="12">
        <v>51</v>
      </c>
      <c r="M159" s="12">
        <v>79</v>
      </c>
      <c r="N159" s="12">
        <v>3</v>
      </c>
      <c r="O159" s="15"/>
      <c r="P159" s="6">
        <v>41705.792800925927</v>
      </c>
      <c r="Q159" s="16" t="s">
        <v>1129</v>
      </c>
      <c r="R159" s="17" t="s">
        <v>1130</v>
      </c>
      <c r="S159" s="11"/>
      <c r="T159" s="11"/>
      <c r="U159" s="10" t="str">
        <f>HYPERLINK("https://pbs.twimg.com/profile_images/456020719474733056/_aI4ObiR.jpeg","View")</f>
        <v>View</v>
      </c>
    </row>
    <row r="160" spans="1:21" ht="40.799999999999997">
      <c r="A160" s="6">
        <v>43427.134872685187</v>
      </c>
      <c r="B160" s="7" t="str">
        <f>HYPERLINK("https://twitter.com/LMekanika","@LMekanika")</f>
        <v>@LMekanika</v>
      </c>
      <c r="C160" s="8" t="s">
        <v>1133</v>
      </c>
      <c r="D160" s="9" t="s">
        <v>1134</v>
      </c>
      <c r="E160" s="10" t="str">
        <f>HYPERLINK("https://twitter.com/LMekanika/status/1065926488984309761","1065926488984309761")</f>
        <v>1065926488984309761</v>
      </c>
      <c r="F160" s="14" t="s">
        <v>1135</v>
      </c>
      <c r="G160" s="11"/>
      <c r="H160" s="11"/>
      <c r="I160" s="12">
        <v>0</v>
      </c>
      <c r="J160" s="12">
        <v>1</v>
      </c>
      <c r="K160" s="13" t="str">
        <f>HYPERLINK("http://twitter.com/download/android","Twitter for Android")</f>
        <v>Twitter for Android</v>
      </c>
      <c r="L160" s="12">
        <v>437</v>
      </c>
      <c r="M160" s="12">
        <v>863</v>
      </c>
      <c r="N160" s="12">
        <v>2</v>
      </c>
      <c r="O160" s="15"/>
      <c r="P160" s="6">
        <v>43029.707384259258</v>
      </c>
      <c r="Q160" s="16" t="s">
        <v>1137</v>
      </c>
      <c r="R160" s="17" t="s">
        <v>1138</v>
      </c>
      <c r="S160" s="11"/>
      <c r="T160" s="11"/>
      <c r="U160" s="10" t="str">
        <f>HYPERLINK("https://pbs.twimg.com/profile_images/921904960975048709/O8UFiF5h.jpg","View")</f>
        <v>View</v>
      </c>
    </row>
    <row r="161" spans="1:21" ht="40.799999999999997">
      <c r="A161" s="6">
        <v>43427.132638888885</v>
      </c>
      <c r="B161" s="7" t="str">
        <f>HYPERLINK("https://twitter.com/Federic92702795","@Federic92702795")</f>
        <v>@Federic92702795</v>
      </c>
      <c r="C161" s="8" t="s">
        <v>1141</v>
      </c>
      <c r="D161" s="9" t="s">
        <v>1143</v>
      </c>
      <c r="E161" s="10" t="str">
        <f>HYPERLINK("https://twitter.com/Federic92702795/status/1065925680981032960","1065925680981032960")</f>
        <v>1065925680981032960</v>
      </c>
      <c r="F161" s="14" t="s">
        <v>1144</v>
      </c>
      <c r="G161" s="11"/>
      <c r="H161" s="11"/>
      <c r="I161" s="12">
        <v>1</v>
      </c>
      <c r="J161" s="12">
        <v>0</v>
      </c>
      <c r="K161" s="13" t="str">
        <f t="shared" ref="K161:K162" si="24">HYPERLINK("http://twitter.com","Twitter Web Client")</f>
        <v>Twitter Web Client</v>
      </c>
      <c r="L161" s="12">
        <v>24</v>
      </c>
      <c r="M161" s="12">
        <v>46</v>
      </c>
      <c r="N161" s="12">
        <v>0</v>
      </c>
      <c r="O161" s="15"/>
      <c r="P161" s="6">
        <v>43094.236168981486</v>
      </c>
      <c r="Q161" s="11"/>
      <c r="R161" s="19"/>
      <c r="S161" s="11"/>
      <c r="T161" s="11"/>
      <c r="U161" s="10" t="str">
        <f>HYPERLINK("https://pbs.twimg.com/profile_images/945305761852350464/dhgk3zXr.jpg","View")</f>
        <v>View</v>
      </c>
    </row>
    <row r="162" spans="1:21" ht="40.799999999999997">
      <c r="A162" s="6">
        <v>43427.132476851853</v>
      </c>
      <c r="B162" s="7" t="str">
        <f>HYPERLINK("https://twitter.com/xalomonte","@xalomonte")</f>
        <v>@xalomonte</v>
      </c>
      <c r="C162" s="8" t="s">
        <v>1149</v>
      </c>
      <c r="D162" s="9" t="s">
        <v>1151</v>
      </c>
      <c r="E162" s="10" t="str">
        <f>HYPERLINK("https://twitter.com/xalomonte/status/1065925622478905344","1065925622478905344")</f>
        <v>1065925622478905344</v>
      </c>
      <c r="F162" s="14" t="s">
        <v>1154</v>
      </c>
      <c r="G162" s="11"/>
      <c r="H162" s="11"/>
      <c r="I162" s="12">
        <v>0</v>
      </c>
      <c r="J162" s="12">
        <v>0</v>
      </c>
      <c r="K162" s="13" t="str">
        <f t="shared" si="24"/>
        <v>Twitter Web Client</v>
      </c>
      <c r="L162" s="12">
        <v>2147</v>
      </c>
      <c r="M162" s="12">
        <v>2024</v>
      </c>
      <c r="N162" s="12">
        <v>34</v>
      </c>
      <c r="O162" s="15"/>
      <c r="P162" s="6">
        <v>40394.405034722222</v>
      </c>
      <c r="Q162" s="16" t="s">
        <v>1155</v>
      </c>
      <c r="R162" s="17" t="s">
        <v>1156</v>
      </c>
      <c r="S162" s="14" t="s">
        <v>1157</v>
      </c>
      <c r="T162" s="11"/>
      <c r="U162" s="10" t="str">
        <f>HYPERLINK("https://pbs.twimg.com/profile_images/497008794157608960/BSVZbeaB.jpeg","View")</f>
        <v>View</v>
      </c>
    </row>
    <row r="163" spans="1:21" ht="40.799999999999997">
      <c r="A163" s="6">
        <v>43427.130648148144</v>
      </c>
      <c r="B163" s="7" t="str">
        <f>HYPERLINK("https://twitter.com/jatirado","@jatirado")</f>
        <v>@jatirado</v>
      </c>
      <c r="C163" s="8" t="s">
        <v>1161</v>
      </c>
      <c r="D163" s="9" t="s">
        <v>454</v>
      </c>
      <c r="E163" s="10" t="str">
        <f>HYPERLINK("https://twitter.com/jatirado/status/1065924958725926917","1065924958725926917")</f>
        <v>1065924958725926917</v>
      </c>
      <c r="F163" s="14" t="s">
        <v>1163</v>
      </c>
      <c r="G163" s="14" t="s">
        <v>1164</v>
      </c>
      <c r="H163" s="11"/>
      <c r="I163" s="12">
        <v>3</v>
      </c>
      <c r="J163" s="12">
        <v>1</v>
      </c>
      <c r="K163" s="13" t="str">
        <f>HYPERLINK("https://dlvrit.com/","dlvr.it")</f>
        <v>dlvr.it</v>
      </c>
      <c r="L163" s="12">
        <v>81725</v>
      </c>
      <c r="M163" s="12">
        <v>54342</v>
      </c>
      <c r="N163" s="12">
        <v>1027</v>
      </c>
      <c r="O163" s="15"/>
      <c r="P163" s="6">
        <v>40353.177581018521</v>
      </c>
      <c r="Q163" s="16" t="s">
        <v>38</v>
      </c>
      <c r="R163" s="17" t="s">
        <v>1168</v>
      </c>
      <c r="S163" s="14" t="s">
        <v>1169</v>
      </c>
      <c r="T163" s="11"/>
      <c r="U163" s="10" t="str">
        <f>HYPERLINK("https://pbs.twimg.com/profile_images/485680559742791680/dg68o8vH.jpeg","View")</f>
        <v>View</v>
      </c>
    </row>
    <row r="164" spans="1:21" ht="20.399999999999999">
      <c r="A164" s="6">
        <v>43427.130185185189</v>
      </c>
      <c r="B164" s="7" t="str">
        <f>HYPERLINK("https://twitter.com/elotrokiosko","@elotrokiosko")</f>
        <v>@elotrokiosko</v>
      </c>
      <c r="C164" s="22" t="s">
        <v>1172</v>
      </c>
      <c r="D164" s="9" t="s">
        <v>1173</v>
      </c>
      <c r="E164" s="10" t="str">
        <f>HYPERLINK("https://twitter.com/elotrokiosko/status/1065924789976657920","1065924789976657920")</f>
        <v>1065924789976657920</v>
      </c>
      <c r="F164" s="14" t="s">
        <v>1175</v>
      </c>
      <c r="G164" s="14" t="s">
        <v>1177</v>
      </c>
      <c r="H164" s="11"/>
      <c r="I164" s="12">
        <v>0</v>
      </c>
      <c r="J164" s="12">
        <v>0</v>
      </c>
      <c r="K164" s="13" t="str">
        <f>HYPERLINK("https://ifttt.com","IFTTT")</f>
        <v>IFTTT</v>
      </c>
      <c r="L164" s="12">
        <v>673</v>
      </c>
      <c r="M164" s="12">
        <v>33</v>
      </c>
      <c r="N164" s="12">
        <v>33</v>
      </c>
      <c r="O164" s="15"/>
      <c r="P164" s="6">
        <v>41230.278622685189</v>
      </c>
      <c r="Q164" s="11"/>
      <c r="R164" s="19"/>
      <c r="S164" s="14" t="s">
        <v>1179</v>
      </c>
      <c r="T164" s="11"/>
      <c r="U164" s="10" t="str">
        <f>HYPERLINK("https://pbs.twimg.com/profile_images/2860748818/ee598947c76a763418b30ea8f9af9290.jpeg","View")</f>
        <v>View</v>
      </c>
    </row>
    <row r="165" spans="1:21" ht="61.2">
      <c r="A165" s="6">
        <v>43427.129513888889</v>
      </c>
      <c r="B165" s="7" t="str">
        <f>HYPERLINK("https://twitter.com/Mmutfilo1","@Mmutfilo1")</f>
        <v>@Mmutfilo1</v>
      </c>
      <c r="C165" s="8" t="s">
        <v>533</v>
      </c>
      <c r="D165" s="9" t="s">
        <v>534</v>
      </c>
      <c r="E165" s="10" t="str">
        <f>HYPERLINK("https://twitter.com/Mmutfilo1/status/1065924548502138881","1065924548502138881")</f>
        <v>1065924548502138881</v>
      </c>
      <c r="F165" s="14" t="s">
        <v>535</v>
      </c>
      <c r="G165" s="14" t="s">
        <v>536</v>
      </c>
      <c r="H165" s="11"/>
      <c r="I165" s="12">
        <v>21</v>
      </c>
      <c r="J165" s="12">
        <v>23</v>
      </c>
      <c r="K165" s="13" t="str">
        <f>HYPERLINK("http://twitter.com/download/android","Twitter for Android")</f>
        <v>Twitter for Android</v>
      </c>
      <c r="L165" s="12">
        <v>332</v>
      </c>
      <c r="M165" s="12">
        <v>1603</v>
      </c>
      <c r="N165" s="12">
        <v>1</v>
      </c>
      <c r="O165" s="15"/>
      <c r="P165" s="6">
        <v>43131.558437500003</v>
      </c>
      <c r="Q165" s="16" t="s">
        <v>123</v>
      </c>
      <c r="R165" s="17" t="s">
        <v>538</v>
      </c>
      <c r="S165" s="11"/>
      <c r="T165" s="11"/>
      <c r="U165" s="10" t="str">
        <f>HYPERLINK("https://pbs.twimg.com/profile_images/961591826049306624/TUv8rl2_.jpg","View")</f>
        <v>View</v>
      </c>
    </row>
    <row r="166" spans="1:21" ht="51">
      <c r="A166" s="6">
        <v>43427.12871527778</v>
      </c>
      <c r="B166" s="7" t="str">
        <f>HYPERLINK("https://twitter.com/MariaTabarnia","@MariaTabarnia")</f>
        <v>@MariaTabarnia</v>
      </c>
      <c r="C166" s="8" t="s">
        <v>542</v>
      </c>
      <c r="D166" s="9" t="s">
        <v>543</v>
      </c>
      <c r="E166" s="10" t="str">
        <f>HYPERLINK("https://twitter.com/MariaTabarnia/status/1065924258969411584","1065924258969411584")</f>
        <v>1065924258969411584</v>
      </c>
      <c r="F166" s="14" t="s">
        <v>544</v>
      </c>
      <c r="G166" s="11"/>
      <c r="H166" s="11"/>
      <c r="I166" s="12">
        <v>52</v>
      </c>
      <c r="J166" s="12">
        <v>91</v>
      </c>
      <c r="K166" s="13" t="str">
        <f>HYPERLINK("http://twitter.com/#!/download/ipad","Twitter for iPad")</f>
        <v>Twitter for iPad</v>
      </c>
      <c r="L166" s="12">
        <v>11496</v>
      </c>
      <c r="M166" s="12">
        <v>12421</v>
      </c>
      <c r="N166" s="12">
        <v>52</v>
      </c>
      <c r="O166" s="15"/>
      <c r="P166" s="6">
        <v>41424.480567129627</v>
      </c>
      <c r="Q166" s="16" t="s">
        <v>546</v>
      </c>
      <c r="R166" s="17" t="s">
        <v>547</v>
      </c>
      <c r="S166" s="11"/>
      <c r="T166" s="11"/>
      <c r="U166" s="10" t="str">
        <f>HYPERLINK("https://pbs.twimg.com/profile_images/906661884199391232/L9xcUYsf.jpg","View")</f>
        <v>View</v>
      </c>
    </row>
    <row r="167" spans="1:21" ht="20.399999999999999">
      <c r="A167" s="6">
        <v>43427.128541666665</v>
      </c>
      <c r="B167" s="7" t="str">
        <f>HYPERLINK("https://twitter.com/EPNacional","@EPNacional")</f>
        <v>@EPNacional</v>
      </c>
      <c r="C167" s="8" t="s">
        <v>1190</v>
      </c>
      <c r="D167" s="9" t="s">
        <v>74</v>
      </c>
      <c r="E167" s="10" t="str">
        <f>HYPERLINK("https://twitter.com/EPNacional/status/1065924193307496448","1065924193307496448")</f>
        <v>1065924193307496448</v>
      </c>
      <c r="F167" s="14" t="s">
        <v>75</v>
      </c>
      <c r="G167" s="11"/>
      <c r="H167" s="11"/>
      <c r="I167" s="12">
        <v>1</v>
      </c>
      <c r="J167" s="12">
        <v>0</v>
      </c>
      <c r="K167" s="13" t="str">
        <f>HYPERLINK("https://about.twitter.com/products/tweetdeck","TweetDeck")</f>
        <v>TweetDeck</v>
      </c>
      <c r="L167" s="12">
        <v>10739</v>
      </c>
      <c r="M167" s="12">
        <v>128</v>
      </c>
      <c r="N167" s="12">
        <v>240</v>
      </c>
      <c r="O167" s="18" t="s">
        <v>52</v>
      </c>
      <c r="P167" s="6">
        <v>41708.114525462966</v>
      </c>
      <c r="Q167" s="11"/>
      <c r="R167" s="17" t="s">
        <v>1196</v>
      </c>
      <c r="S167" s="14" t="s">
        <v>1198</v>
      </c>
      <c r="T167" s="11"/>
      <c r="U167" s="10" t="str">
        <f>HYPERLINK("https://pbs.twimg.com/profile_images/877113547158847488/eIlueLsb.jpg","View")</f>
        <v>View</v>
      </c>
    </row>
    <row r="168" spans="1:21" ht="51">
      <c r="A168" s="6">
        <v>43427.128159722226</v>
      </c>
      <c r="B168" s="7" t="str">
        <f>HYPERLINK("https://twitter.com/madrid24horas","@madrid24horas")</f>
        <v>@madrid24horas</v>
      </c>
      <c r="C168" s="8" t="s">
        <v>797</v>
      </c>
      <c r="D168" s="9" t="s">
        <v>1200</v>
      </c>
      <c r="E168" s="10" t="str">
        <f>HYPERLINK("https://twitter.com/madrid24horas/status/1065924055268773888","1065924055268773888")</f>
        <v>1065924055268773888</v>
      </c>
      <c r="F168" s="14" t="s">
        <v>1201</v>
      </c>
      <c r="G168" s="11"/>
      <c r="H168" s="11"/>
      <c r="I168" s="12">
        <v>0</v>
      </c>
      <c r="J168" s="12">
        <v>0</v>
      </c>
      <c r="K168" s="13" t="str">
        <f>HYPERLINK("https://ifttt.com","IFTTT")</f>
        <v>IFTTT</v>
      </c>
      <c r="L168" s="12">
        <v>1839</v>
      </c>
      <c r="M168" s="12">
        <v>1799</v>
      </c>
      <c r="N168" s="12">
        <v>37</v>
      </c>
      <c r="O168" s="15"/>
      <c r="P168" s="6">
        <v>41166.345775462964</v>
      </c>
      <c r="Q168" s="16" t="s">
        <v>87</v>
      </c>
      <c r="R168" s="17" t="s">
        <v>803</v>
      </c>
      <c r="S168" s="14" t="s">
        <v>804</v>
      </c>
      <c r="T168" s="11"/>
      <c r="U168" s="10" t="str">
        <f>HYPERLINK("https://pbs.twimg.com/profile_images/806297627029635072/W4TvPSPY.jpg","View")</f>
        <v>View</v>
      </c>
    </row>
    <row r="169" spans="1:21" ht="20.399999999999999">
      <c r="A169" s="6">
        <v>43427.127986111111</v>
      </c>
      <c r="B169" s="7" t="str">
        <f t="shared" ref="B169:B170" si="25">HYPERLINK("https://twitter.com/Alfacebook64","@Alfacebook64")</f>
        <v>@Alfacebook64</v>
      </c>
      <c r="C169" s="8" t="s">
        <v>1204</v>
      </c>
      <c r="D169" s="9" t="s">
        <v>625</v>
      </c>
      <c r="E169" s="10" t="str">
        <f>HYPERLINK("https://twitter.com/Alfacebook64/status/1065923994166206465","1065923994166206465")</f>
        <v>1065923994166206465</v>
      </c>
      <c r="F169" s="14" t="s">
        <v>372</v>
      </c>
      <c r="G169" s="11"/>
      <c r="H169" s="11"/>
      <c r="I169" s="12">
        <v>0</v>
      </c>
      <c r="J169" s="12">
        <v>0</v>
      </c>
      <c r="K169" s="13" t="str">
        <f t="shared" ref="K169:K170" si="26">HYPERLINK("http://twitter.com/#!/download/ipad","Twitter for iPad")</f>
        <v>Twitter for iPad</v>
      </c>
      <c r="L169" s="12">
        <v>4225</v>
      </c>
      <c r="M169" s="12">
        <v>3495</v>
      </c>
      <c r="N169" s="12">
        <v>39</v>
      </c>
      <c r="O169" s="15"/>
      <c r="P169" s="6">
        <v>42189.576504629629</v>
      </c>
      <c r="Q169" s="16" t="s">
        <v>1208</v>
      </c>
      <c r="R169" s="17" t="s">
        <v>1209</v>
      </c>
      <c r="S169" s="11"/>
      <c r="T169" s="11"/>
      <c r="U169" s="10" t="str">
        <f t="shared" ref="U169:U170" si="27">HYPERLINK("https://pbs.twimg.com/profile_images/636562609811099648/TOG_sQjr.jpg","View")</f>
        <v>View</v>
      </c>
    </row>
    <row r="170" spans="1:21" ht="30.6">
      <c r="A170" s="6">
        <v>43427.127210648148</v>
      </c>
      <c r="B170" s="7" t="str">
        <f t="shared" si="25"/>
        <v>@Alfacebook64</v>
      </c>
      <c r="C170" s="8" t="s">
        <v>1204</v>
      </c>
      <c r="D170" s="9" t="s">
        <v>1151</v>
      </c>
      <c r="E170" s="10" t="str">
        <f>HYPERLINK("https://twitter.com/Alfacebook64/status/1065923713596616704","1065923713596616704")</f>
        <v>1065923713596616704</v>
      </c>
      <c r="F170" s="14" t="s">
        <v>1212</v>
      </c>
      <c r="G170" s="11"/>
      <c r="H170" s="11"/>
      <c r="I170" s="12">
        <v>0</v>
      </c>
      <c r="J170" s="12">
        <v>0</v>
      </c>
      <c r="K170" s="13" t="str">
        <f t="shared" si="26"/>
        <v>Twitter for iPad</v>
      </c>
      <c r="L170" s="12">
        <v>4225</v>
      </c>
      <c r="M170" s="12">
        <v>3495</v>
      </c>
      <c r="N170" s="12">
        <v>39</v>
      </c>
      <c r="O170" s="15"/>
      <c r="P170" s="6">
        <v>42189.576504629629</v>
      </c>
      <c r="Q170" s="16" t="s">
        <v>1208</v>
      </c>
      <c r="R170" s="17" t="s">
        <v>1209</v>
      </c>
      <c r="S170" s="11"/>
      <c r="T170" s="11"/>
      <c r="U170" s="10" t="str">
        <f t="shared" si="27"/>
        <v>View</v>
      </c>
    </row>
    <row r="171" spans="1:21" ht="40.799999999999997">
      <c r="A171" s="6">
        <v>43427.12700231481</v>
      </c>
      <c r="B171" s="7" t="str">
        <f>HYPERLINK("https://twitter.com/LeonFDelCanto","@LeonFDelCanto")</f>
        <v>@LeonFDelCanto</v>
      </c>
      <c r="C171" s="8" t="s">
        <v>550</v>
      </c>
      <c r="D171" s="9" t="s">
        <v>551</v>
      </c>
      <c r="E171" s="10" t="str">
        <f>HYPERLINK("https://twitter.com/LeonFDelCanto/status/1065923634508763137","1065923634508763137")</f>
        <v>1065923634508763137</v>
      </c>
      <c r="F171" s="14" t="s">
        <v>96</v>
      </c>
      <c r="G171" s="11"/>
      <c r="H171" s="11"/>
      <c r="I171" s="12">
        <v>0</v>
      </c>
      <c r="J171" s="12">
        <v>0</v>
      </c>
      <c r="K171" s="13" t="str">
        <f>HYPERLINK("http://twitter.com/download/iphone","Twitter for iPhone")</f>
        <v>Twitter for iPhone</v>
      </c>
      <c r="L171" s="12">
        <v>4471</v>
      </c>
      <c r="M171" s="12">
        <v>2707</v>
      </c>
      <c r="N171" s="12">
        <v>109</v>
      </c>
      <c r="O171" s="15"/>
      <c r="P171" s="6">
        <v>40653.130300925928</v>
      </c>
      <c r="Q171" s="16" t="s">
        <v>555</v>
      </c>
      <c r="R171" s="17" t="s">
        <v>556</v>
      </c>
      <c r="S171" s="14" t="s">
        <v>557</v>
      </c>
      <c r="T171" s="11"/>
      <c r="U171" s="10" t="str">
        <f>HYPERLINK("https://pbs.twimg.com/profile_images/1032173717076488193/IxzDAFDo.jpg","View")</f>
        <v>View</v>
      </c>
    </row>
    <row r="172" spans="1:21" ht="40.799999999999997">
      <c r="A172" s="6">
        <v>43427.126932870371</v>
      </c>
      <c r="B172" s="7" t="str">
        <f>HYPERLINK("https://twitter.com/socBatman","@socBatman")</f>
        <v>@socBatman</v>
      </c>
      <c r="C172" s="8" t="s">
        <v>1217</v>
      </c>
      <c r="D172" s="9" t="s">
        <v>1218</v>
      </c>
      <c r="E172" s="10" t="str">
        <f>HYPERLINK("https://twitter.com/socBatman/status/1065923613025595392","1065923613025595392")</f>
        <v>1065923613025595392</v>
      </c>
      <c r="F172" s="14" t="s">
        <v>1219</v>
      </c>
      <c r="G172" s="11"/>
      <c r="H172" s="11"/>
      <c r="I172" s="12">
        <v>0</v>
      </c>
      <c r="J172" s="12">
        <v>0</v>
      </c>
      <c r="K172" s="13" t="str">
        <f>HYPERLINK("http://twitter.com","Twitter Web Client")</f>
        <v>Twitter Web Client</v>
      </c>
      <c r="L172" s="12">
        <v>441</v>
      </c>
      <c r="M172" s="12">
        <v>1288</v>
      </c>
      <c r="N172" s="12">
        <v>1</v>
      </c>
      <c r="O172" s="15"/>
      <c r="P172" s="6">
        <v>43012.913819444446</v>
      </c>
      <c r="Q172" s="16" t="s">
        <v>1223</v>
      </c>
      <c r="R172" s="17" t="s">
        <v>1224</v>
      </c>
      <c r="S172" s="11"/>
      <c r="T172" s="11"/>
      <c r="U172" s="10" t="str">
        <f>HYPERLINK("https://pbs.twimg.com/profile_images/936165524131713024/lQFFt3ue.jpg","View")</f>
        <v>View</v>
      </c>
    </row>
    <row r="173" spans="1:21" ht="40.799999999999997">
      <c r="A173" s="6">
        <v>43427.125625000001</v>
      </c>
      <c r="B173" s="7" t="str">
        <f>HYPERLINK("https://twitter.com/Yolanda18691613","@Yolanda18691613")</f>
        <v>@Yolanda18691613</v>
      </c>
      <c r="C173" s="8" t="s">
        <v>560</v>
      </c>
      <c r="D173" s="9" t="s">
        <v>561</v>
      </c>
      <c r="E173" s="10" t="str">
        <f>HYPERLINK("https://twitter.com/Yolanda18691613/status/1065923138616209409","1065923138616209409")</f>
        <v>1065923138616209409</v>
      </c>
      <c r="F173" s="14" t="s">
        <v>562</v>
      </c>
      <c r="G173" s="11"/>
      <c r="H173" s="11"/>
      <c r="I173" s="12">
        <v>0</v>
      </c>
      <c r="J173" s="12">
        <v>0</v>
      </c>
      <c r="K173" s="13" t="str">
        <f>HYPERLINK("http://twitter.com/download/iphone","Twitter for iPhone")</f>
        <v>Twitter for iPhone</v>
      </c>
      <c r="L173" s="12">
        <v>157</v>
      </c>
      <c r="M173" s="12">
        <v>588</v>
      </c>
      <c r="N173" s="12">
        <v>1</v>
      </c>
      <c r="O173" s="15"/>
      <c r="P173" s="6">
        <v>42168.113298611112</v>
      </c>
      <c r="Q173" s="11"/>
      <c r="R173" s="19"/>
      <c r="S173" s="11"/>
      <c r="T173" s="11"/>
      <c r="U173" s="10" t="str">
        <f>HYPERLINK("https://pbs.twimg.com/profile_images/1043221901198467073/KPiUAgvu.jpg","View")</f>
        <v>View</v>
      </c>
    </row>
    <row r="174" spans="1:21" ht="20.399999999999999">
      <c r="A174" s="6">
        <v>43427.125300925924</v>
      </c>
      <c r="B174" s="7" t="str">
        <f>HYPERLINK("https://twitter.com/EPAndalucia","@EPAndalucia")</f>
        <v>@EPAndalucia</v>
      </c>
      <c r="C174" s="8" t="s">
        <v>1231</v>
      </c>
      <c r="D174" s="9" t="s">
        <v>454</v>
      </c>
      <c r="E174" s="10" t="str">
        <f>HYPERLINK("https://twitter.com/EPAndalucia/status/1065923019980312577","1065923019980312577")</f>
        <v>1065923019980312577</v>
      </c>
      <c r="F174" s="14" t="s">
        <v>75</v>
      </c>
      <c r="G174" s="11"/>
      <c r="H174" s="11"/>
      <c r="I174" s="12">
        <v>0</v>
      </c>
      <c r="J174" s="12">
        <v>0</v>
      </c>
      <c r="K174" s="13" t="str">
        <f>HYPERLINK("http://www.europapress.es/andalucia","Twitter editor Andalucia")</f>
        <v>Twitter editor Andalucia</v>
      </c>
      <c r="L174" s="12">
        <v>37380</v>
      </c>
      <c r="M174" s="12">
        <v>1177</v>
      </c>
      <c r="N174" s="12">
        <v>855</v>
      </c>
      <c r="O174" s="15"/>
      <c r="P174" s="6">
        <v>40540.369988425926</v>
      </c>
      <c r="Q174" s="16" t="s">
        <v>1234</v>
      </c>
      <c r="R174" s="17" t="s">
        <v>1235</v>
      </c>
      <c r="S174" s="14" t="s">
        <v>1236</v>
      </c>
      <c r="T174" s="11"/>
      <c r="U174" s="10" t="str">
        <f>HYPERLINK("https://pbs.twimg.com/profile_images/876784913466503168/u7k3N7mS.jpg","View")</f>
        <v>View</v>
      </c>
    </row>
    <row r="175" spans="1:21" ht="40.799999999999997">
      <c r="A175" s="6">
        <v>43427.125</v>
      </c>
      <c r="B175" s="7" t="str">
        <f>HYPERLINK("https://twitter.com/VerdaderaIzqda","@VerdaderaIzqda")</f>
        <v>@VerdaderaIzqda</v>
      </c>
      <c r="C175" s="8" t="s">
        <v>1238</v>
      </c>
      <c r="D175" s="9" t="s">
        <v>1240</v>
      </c>
      <c r="E175" s="10" t="str">
        <f>HYPERLINK("https://twitter.com/VerdaderaIzqda/status/1065922910781620224","1065922910781620224")</f>
        <v>1065922910781620224</v>
      </c>
      <c r="F175" s="14" t="s">
        <v>1242</v>
      </c>
      <c r="G175" s="11"/>
      <c r="H175" s="11"/>
      <c r="I175" s="12">
        <v>3</v>
      </c>
      <c r="J175" s="12">
        <v>4</v>
      </c>
      <c r="K175" s="13" t="str">
        <f>HYPERLINK("https://about.twitter.com/products/tweetdeck","TweetDeck")</f>
        <v>TweetDeck</v>
      </c>
      <c r="L175" s="12">
        <v>37334</v>
      </c>
      <c r="M175" s="12">
        <v>15826</v>
      </c>
      <c r="N175" s="12">
        <v>284</v>
      </c>
      <c r="O175" s="15"/>
      <c r="P175" s="6">
        <v>40716.206192129626</v>
      </c>
      <c r="Q175" s="16" t="s">
        <v>28</v>
      </c>
      <c r="R175" s="17" t="s">
        <v>1243</v>
      </c>
      <c r="S175" s="14" t="s">
        <v>1244</v>
      </c>
      <c r="T175" s="11"/>
      <c r="U175" s="10" t="str">
        <f>HYPERLINK("https://pbs.twimg.com/profile_images/1407748160/contra_el_comunismo.jpg","View")</f>
        <v>View</v>
      </c>
    </row>
    <row r="176" spans="1:21" ht="51">
      <c r="A176" s="6">
        <v>43427.124976851846</v>
      </c>
      <c r="B176" s="7" t="str">
        <f>HYPERLINK("https://twitter.com/AhoraCantabria","@AhoraCantabria")</f>
        <v>@AhoraCantabria</v>
      </c>
      <c r="C176" s="8" t="s">
        <v>564</v>
      </c>
      <c r="D176" s="9" t="s">
        <v>565</v>
      </c>
      <c r="E176" s="10" t="str">
        <f>HYPERLINK("https://twitter.com/AhoraCantabria/status/1065922904553111553","1065922904553111553")</f>
        <v>1065922904553111553</v>
      </c>
      <c r="F176" s="11"/>
      <c r="G176" s="14" t="s">
        <v>566</v>
      </c>
      <c r="H176" s="11"/>
      <c r="I176" s="12">
        <v>0</v>
      </c>
      <c r="J176" s="12">
        <v>0</v>
      </c>
      <c r="K176" s="13" t="str">
        <f>HYPERLINK("https://buffer.com","Buffer")</f>
        <v>Buffer</v>
      </c>
      <c r="L176" s="12">
        <v>8579</v>
      </c>
      <c r="M176" s="12">
        <v>1430</v>
      </c>
      <c r="N176" s="12">
        <v>135</v>
      </c>
      <c r="O176" s="15"/>
      <c r="P176" s="6">
        <v>41200.454687500001</v>
      </c>
      <c r="Q176" s="16" t="s">
        <v>569</v>
      </c>
      <c r="R176" s="17" t="s">
        <v>570</v>
      </c>
      <c r="S176" s="14" t="s">
        <v>571</v>
      </c>
      <c r="T176" s="11"/>
      <c r="U176" s="10" t="str">
        <f>HYPERLINK("https://pbs.twimg.com/profile_images/978940959617617922/UqYGk2Wc.jpg","View")</f>
        <v>View</v>
      </c>
    </row>
    <row r="177" spans="1:21" ht="51">
      <c r="A177" s="6">
        <v>43427.123865740738</v>
      </c>
      <c r="B177" s="7" t="str">
        <f>HYPERLINK("https://twitter.com/Sevilla24H","@Sevilla24H")</f>
        <v>@Sevilla24H</v>
      </c>
      <c r="C177" s="8" t="s">
        <v>1253</v>
      </c>
      <c r="D177" s="9" t="s">
        <v>1254</v>
      </c>
      <c r="E177" s="10" t="str">
        <f>HYPERLINK("https://twitter.com/Sevilla24H/status/1065922500880519168","1065922500880519168")</f>
        <v>1065922500880519168</v>
      </c>
      <c r="F177" s="14" t="s">
        <v>1257</v>
      </c>
      <c r="G177" s="11"/>
      <c r="H177" s="11"/>
      <c r="I177" s="12">
        <v>0</v>
      </c>
      <c r="J177" s="12">
        <v>0</v>
      </c>
      <c r="K177" s="13" t="str">
        <f>HYPERLINK("https://ifttt.com","IFTTT")</f>
        <v>IFTTT</v>
      </c>
      <c r="L177" s="12">
        <v>502</v>
      </c>
      <c r="M177" s="12">
        <v>750</v>
      </c>
      <c r="N177" s="12">
        <v>11</v>
      </c>
      <c r="O177" s="15"/>
      <c r="P177" s="6">
        <v>41294.224583333329</v>
      </c>
      <c r="Q177" s="16" t="s">
        <v>1059</v>
      </c>
      <c r="R177" s="17" t="s">
        <v>1260</v>
      </c>
      <c r="S177" s="14" t="s">
        <v>1261</v>
      </c>
      <c r="T177" s="11"/>
      <c r="U177" s="10" t="str">
        <f>HYPERLINK("https://pbs.twimg.com/profile_images/833777334108975104/fgeZLBXg.jpg","View")</f>
        <v>View</v>
      </c>
    </row>
    <row r="178" spans="1:21" ht="20.399999999999999">
      <c r="A178" s="6">
        <v>43427.123865740738</v>
      </c>
      <c r="B178" s="7" t="str">
        <f>HYPERLINK("https://twitter.com/santodelcancer","@santodelcancer")</f>
        <v>@santodelcancer</v>
      </c>
      <c r="C178" s="8" t="s">
        <v>1263</v>
      </c>
      <c r="D178" s="9" t="s">
        <v>1264</v>
      </c>
      <c r="E178" s="10" t="str">
        <f>HYPERLINK("https://twitter.com/santodelcancer/status/1065922499597271040","1065922499597271040")</f>
        <v>1065922499597271040</v>
      </c>
      <c r="F178" s="14" t="s">
        <v>1267</v>
      </c>
      <c r="G178" s="11"/>
      <c r="H178" s="11"/>
      <c r="I178" s="12">
        <v>0</v>
      </c>
      <c r="J178" s="12">
        <v>1</v>
      </c>
      <c r="K178" s="13" t="str">
        <f>HYPERLINK("http://twitter.com/download/android","Twitter for Android")</f>
        <v>Twitter for Android</v>
      </c>
      <c r="L178" s="12">
        <v>25</v>
      </c>
      <c r="M178" s="12">
        <v>232</v>
      </c>
      <c r="N178" s="12">
        <v>0</v>
      </c>
      <c r="O178" s="15"/>
      <c r="P178" s="6">
        <v>43391.061747685184</v>
      </c>
      <c r="Q178" s="16" t="s">
        <v>1269</v>
      </c>
      <c r="R178" s="17" t="s">
        <v>1271</v>
      </c>
      <c r="S178" s="11"/>
      <c r="T178" s="11"/>
      <c r="U178" s="10" t="str">
        <f>HYPERLINK("https://pbs.twimg.com/profile_images/1053124819296964610/xfAfgmkZ.jpg","View")</f>
        <v>View</v>
      </c>
    </row>
    <row r="179" spans="1:21" ht="40.799999999999997">
      <c r="A179" s="6">
        <v>43427.123472222222</v>
      </c>
      <c r="B179" s="7" t="str">
        <f>HYPERLINK("https://twitter.com/xalomonte","@xalomonte")</f>
        <v>@xalomonte</v>
      </c>
      <c r="C179" s="8" t="s">
        <v>1149</v>
      </c>
      <c r="D179" s="9" t="s">
        <v>625</v>
      </c>
      <c r="E179" s="10" t="str">
        <f>HYPERLINK("https://twitter.com/xalomonte/status/1065922357779464192","1065922357779464192")</f>
        <v>1065922357779464192</v>
      </c>
      <c r="F179" s="14" t="s">
        <v>1277</v>
      </c>
      <c r="G179" s="11"/>
      <c r="H179" s="11"/>
      <c r="I179" s="12">
        <v>0</v>
      </c>
      <c r="J179" s="12">
        <v>0</v>
      </c>
      <c r="K179" s="13" t="str">
        <f>HYPERLINK("http://twitter.com","Twitter Web Client")</f>
        <v>Twitter Web Client</v>
      </c>
      <c r="L179" s="12">
        <v>2147</v>
      </c>
      <c r="M179" s="12">
        <v>2024</v>
      </c>
      <c r="N179" s="12">
        <v>34</v>
      </c>
      <c r="O179" s="15"/>
      <c r="P179" s="6">
        <v>40394.405034722222</v>
      </c>
      <c r="Q179" s="16" t="s">
        <v>1155</v>
      </c>
      <c r="R179" s="17" t="s">
        <v>1156</v>
      </c>
      <c r="S179" s="14" t="s">
        <v>1157</v>
      </c>
      <c r="T179" s="11"/>
      <c r="U179" s="10" t="str">
        <f>HYPERLINK("https://pbs.twimg.com/profile_images/497008794157608960/BSVZbeaB.jpeg","View")</f>
        <v>View</v>
      </c>
    </row>
    <row r="180" spans="1:21" ht="20.399999999999999">
      <c r="A180" s="6">
        <v>43427.122534722221</v>
      </c>
      <c r="B180" s="7" t="str">
        <f>HYPERLINK("https://twitter.com/JacoboMonfort","@JacoboMonfort")</f>
        <v>@JacoboMonfort</v>
      </c>
      <c r="C180" s="8" t="s">
        <v>1284</v>
      </c>
      <c r="D180" s="9" t="s">
        <v>625</v>
      </c>
      <c r="E180" s="10" t="str">
        <f>HYPERLINK("https://twitter.com/JacoboMonfort/status/1065922015901769728","1065922015901769728")</f>
        <v>1065922015901769728</v>
      </c>
      <c r="F180" s="14" t="s">
        <v>255</v>
      </c>
      <c r="G180" s="11"/>
      <c r="H180" s="11"/>
      <c r="I180" s="12">
        <v>0</v>
      </c>
      <c r="J180" s="12">
        <v>0</v>
      </c>
      <c r="K180" s="13" t="str">
        <f>HYPERLINK("http://twitter.com/download/android","Twitter for Android")</f>
        <v>Twitter for Android</v>
      </c>
      <c r="L180" s="12">
        <v>1587</v>
      </c>
      <c r="M180" s="12">
        <v>2038</v>
      </c>
      <c r="N180" s="12">
        <v>11</v>
      </c>
      <c r="O180" s="15"/>
      <c r="P180" s="6">
        <v>40201.617141203707</v>
      </c>
      <c r="Q180" s="16" t="s">
        <v>378</v>
      </c>
      <c r="R180" s="19"/>
      <c r="S180" s="11"/>
      <c r="T180" s="11"/>
      <c r="U180" s="10" t="str">
        <f>HYPERLINK("https://pbs.twimg.com/profile_images/729423885041537024/xThPf9dD.jpg","View")</f>
        <v>View</v>
      </c>
    </row>
    <row r="181" spans="1:21" ht="40.799999999999997">
      <c r="A181" s="6">
        <v>43427.122395833328</v>
      </c>
      <c r="B181" s="7" t="str">
        <f>HYPERLINK("https://twitter.com/agusfontenla","@agusfontenla")</f>
        <v>@agusfontenla</v>
      </c>
      <c r="C181" s="8" t="s">
        <v>573</v>
      </c>
      <c r="D181" s="9" t="s">
        <v>574</v>
      </c>
      <c r="E181" s="10" t="str">
        <f>HYPERLINK("https://twitter.com/agusfontenla/status/1065921966325026816","1065921966325026816")</f>
        <v>1065921966325026816</v>
      </c>
      <c r="F181" s="16" t="s">
        <v>575</v>
      </c>
      <c r="G181" s="11"/>
      <c r="H181" s="11"/>
      <c r="I181" s="12">
        <v>0</v>
      </c>
      <c r="J181" s="12">
        <v>0</v>
      </c>
      <c r="K181" s="13" t="str">
        <f>HYPERLINK("http://twitter.com","Twitter Web Client")</f>
        <v>Twitter Web Client</v>
      </c>
      <c r="L181" s="12">
        <v>3738</v>
      </c>
      <c r="M181" s="12">
        <v>932</v>
      </c>
      <c r="N181" s="12">
        <v>77</v>
      </c>
      <c r="O181" s="15"/>
      <c r="P181" s="6">
        <v>40364.846967592595</v>
      </c>
      <c r="Q181" s="16" t="s">
        <v>87</v>
      </c>
      <c r="R181" s="17" t="s">
        <v>577</v>
      </c>
      <c r="S181" s="11"/>
      <c r="T181" s="11"/>
      <c r="U181" s="10" t="str">
        <f>HYPERLINK("https://pbs.twimg.com/profile_images/571783522324750338/5re2h8UO.jpeg","View")</f>
        <v>View</v>
      </c>
    </row>
    <row r="182" spans="1:21" ht="51">
      <c r="A182" s="6">
        <v>43427.120162037041</v>
      </c>
      <c r="B182" s="7" t="str">
        <f>HYPERLINK("https://twitter.com/sedoac","@sedoac")</f>
        <v>@sedoac</v>
      </c>
      <c r="C182" s="8" t="s">
        <v>578</v>
      </c>
      <c r="D182" s="9" t="s">
        <v>579</v>
      </c>
      <c r="E182" s="10" t="str">
        <f>HYPERLINK("https://twitter.com/sedoac/status/1065921158279774210","1065921158279774210")</f>
        <v>1065921158279774210</v>
      </c>
      <c r="F182" s="14" t="s">
        <v>580</v>
      </c>
      <c r="G182" s="11"/>
      <c r="H182" s="11"/>
      <c r="I182" s="12">
        <v>2</v>
      </c>
      <c r="J182" s="12">
        <v>3</v>
      </c>
      <c r="K182" s="13" t="str">
        <f>HYPERLINK("http://twitter.com/download/android","Twitter for Android")</f>
        <v>Twitter for Android</v>
      </c>
      <c r="L182" s="12">
        <v>909</v>
      </c>
      <c r="M182" s="12">
        <v>511</v>
      </c>
      <c r="N182" s="12">
        <v>18</v>
      </c>
      <c r="O182" s="15"/>
      <c r="P182" s="6">
        <v>42083.202893518523</v>
      </c>
      <c r="Q182" s="16" t="s">
        <v>87</v>
      </c>
      <c r="R182" s="17" t="s">
        <v>581</v>
      </c>
      <c r="S182" s="14" t="s">
        <v>582</v>
      </c>
      <c r="T182" s="11"/>
      <c r="U182" s="10" t="str">
        <f>HYPERLINK("https://pbs.twimg.com/profile_images/1004804826151124992/EB5i-gbt.jpg","View")</f>
        <v>View</v>
      </c>
    </row>
    <row r="183" spans="1:21" ht="20.399999999999999">
      <c r="A183" s="6">
        <v>43427.119525462964</v>
      </c>
      <c r="B183" s="7" t="str">
        <f>HYPERLINK("https://twitter.com/CwhRoss","@CwhRoss")</f>
        <v>@CwhRoss</v>
      </c>
      <c r="C183" s="8" t="s">
        <v>853</v>
      </c>
      <c r="D183" s="9" t="s">
        <v>1302</v>
      </c>
      <c r="E183" s="10" t="str">
        <f>HYPERLINK("https://twitter.com/CwhRoss/status/1065920927270080512","1065920927270080512")</f>
        <v>1065920927270080512</v>
      </c>
      <c r="F183" s="14" t="s">
        <v>1303</v>
      </c>
      <c r="G183" s="11"/>
      <c r="H183" s="11"/>
      <c r="I183" s="12">
        <v>0</v>
      </c>
      <c r="J183" s="12">
        <v>0</v>
      </c>
      <c r="K183" s="13" t="str">
        <f>HYPERLINK("http://www.facebook.com/twitter","Facebook")</f>
        <v>Facebook</v>
      </c>
      <c r="L183" s="12">
        <v>169</v>
      </c>
      <c r="M183" s="12">
        <v>2</v>
      </c>
      <c r="N183" s="12">
        <v>45</v>
      </c>
      <c r="O183" s="15"/>
      <c r="P183" s="6">
        <v>41008.406701388885</v>
      </c>
      <c r="Q183" s="16" t="s">
        <v>857</v>
      </c>
      <c r="R183" s="20" t="s">
        <v>858</v>
      </c>
      <c r="S183" s="14" t="s">
        <v>859</v>
      </c>
      <c r="T183" s="11"/>
      <c r="U183" s="10" t="str">
        <f>HYPERLINK("https://pbs.twimg.com/profile_images/2076887937/Copy_of_cerdo_con_maciza.jpg","View")</f>
        <v>View</v>
      </c>
    </row>
    <row r="184" spans="1:21" ht="61.2">
      <c r="A184" s="6">
        <v>43427.119131944448</v>
      </c>
      <c r="B184" s="7" t="str">
        <f>HYPERLINK("https://twitter.com/almarfu1","@almarfu1")</f>
        <v>@almarfu1</v>
      </c>
      <c r="C184" s="8" t="s">
        <v>583</v>
      </c>
      <c r="D184" s="9" t="s">
        <v>584</v>
      </c>
      <c r="E184" s="10" t="str">
        <f>HYPERLINK("https://twitter.com/almarfu1/status/1065920786211454977","1065920786211454977")</f>
        <v>1065920786211454977</v>
      </c>
      <c r="F184" s="16" t="s">
        <v>585</v>
      </c>
      <c r="G184" s="11"/>
      <c r="H184" s="11"/>
      <c r="I184" s="12">
        <v>0</v>
      </c>
      <c r="J184" s="12">
        <v>0</v>
      </c>
      <c r="K184" s="13" t="str">
        <f t="shared" ref="K184:K185" si="28">HYPERLINK("http://twitter.com/download/android","Twitter for Android")</f>
        <v>Twitter for Android</v>
      </c>
      <c r="L184" s="12">
        <v>45</v>
      </c>
      <c r="M184" s="12">
        <v>239</v>
      </c>
      <c r="N184" s="12">
        <v>1</v>
      </c>
      <c r="O184" s="15"/>
      <c r="P184" s="6">
        <v>42854.23028935185</v>
      </c>
      <c r="Q184" s="11"/>
      <c r="R184" s="17" t="s">
        <v>586</v>
      </c>
      <c r="S184" s="11"/>
      <c r="T184" s="11"/>
      <c r="U184" s="10" t="str">
        <f>HYPERLINK("https://pbs.twimg.com/profile_images/858624448534114305/AhGdWfVL.jpg","View")</f>
        <v>View</v>
      </c>
    </row>
    <row r="185" spans="1:21" ht="40.799999999999997">
      <c r="A185" s="6">
        <v>43427.117939814816</v>
      </c>
      <c r="B185" s="7" t="str">
        <f>HYPERLINK("https://twitter.com/76antoniojose","@76antoniojose")</f>
        <v>@76antoniojose</v>
      </c>
      <c r="C185" s="8" t="s">
        <v>1312</v>
      </c>
      <c r="D185" s="9" t="s">
        <v>1313</v>
      </c>
      <c r="E185" s="10" t="str">
        <f>HYPERLINK("https://twitter.com/76antoniojose/status/1065920350658060289","1065920350658060289")</f>
        <v>1065920350658060289</v>
      </c>
      <c r="F185" s="14" t="s">
        <v>1316</v>
      </c>
      <c r="G185" s="11"/>
      <c r="H185" s="11"/>
      <c r="I185" s="12">
        <v>0</v>
      </c>
      <c r="J185" s="12">
        <v>1</v>
      </c>
      <c r="K185" s="13" t="str">
        <f t="shared" si="28"/>
        <v>Twitter for Android</v>
      </c>
      <c r="L185" s="12">
        <v>7</v>
      </c>
      <c r="M185" s="12">
        <v>30</v>
      </c>
      <c r="N185" s="12">
        <v>0</v>
      </c>
      <c r="O185" s="15"/>
      <c r="P185" s="6">
        <v>43315.393425925926</v>
      </c>
      <c r="Q185" s="11"/>
      <c r="R185" s="17" t="s">
        <v>1319</v>
      </c>
      <c r="S185" s="11"/>
      <c r="T185" s="11"/>
      <c r="U185" s="10" t="str">
        <f>HYPERLINK("https://pbs.twimg.com/profile_images/1026437791415259137/NdiIg0J0.jpg","View")</f>
        <v>View</v>
      </c>
    </row>
    <row r="186" spans="1:21" ht="40.799999999999997">
      <c r="A186" s="6">
        <v>43427.116620370369</v>
      </c>
      <c r="B186" s="7" t="str">
        <f>HYPERLINK("https://twitter.com/handradem","@handradem")</f>
        <v>@handradem</v>
      </c>
      <c r="C186" s="8" t="s">
        <v>1322</v>
      </c>
      <c r="D186" s="9" t="s">
        <v>1323</v>
      </c>
      <c r="E186" s="10" t="str">
        <f>HYPERLINK("https://twitter.com/handradem/status/1065919875267403776","1065919875267403776")</f>
        <v>1065919875267403776</v>
      </c>
      <c r="F186" s="11"/>
      <c r="G186" s="11"/>
      <c r="H186" s="11"/>
      <c r="I186" s="12">
        <v>0</v>
      </c>
      <c r="J186" s="12">
        <v>0</v>
      </c>
      <c r="K186" s="13" t="str">
        <f t="shared" ref="K186:K188" si="29">HYPERLINK("http://twitter.com/download/iphone","Twitter for iPhone")</f>
        <v>Twitter for iPhone</v>
      </c>
      <c r="L186" s="12">
        <v>161</v>
      </c>
      <c r="M186" s="12">
        <v>299</v>
      </c>
      <c r="N186" s="12">
        <v>0</v>
      </c>
      <c r="O186" s="15"/>
      <c r="P186" s="6">
        <v>40020.857465277775</v>
      </c>
      <c r="Q186" s="16" t="s">
        <v>1326</v>
      </c>
      <c r="R186" s="17" t="s">
        <v>1327</v>
      </c>
      <c r="S186" s="11"/>
      <c r="T186" s="11"/>
      <c r="U186" s="10" t="str">
        <f>HYPERLINK("https://pbs.twimg.com/profile_images/887454495591944192/CngZPSS5.jpg","View")</f>
        <v>View</v>
      </c>
    </row>
    <row r="187" spans="1:21" ht="51">
      <c r="A187" s="6">
        <v>43427.115011574075</v>
      </c>
      <c r="B187" s="7" t="str">
        <f>HYPERLINK("https://twitter.com/teuavlc","@teuavlc")</f>
        <v>@teuavlc</v>
      </c>
      <c r="C187" s="8" t="s">
        <v>1328</v>
      </c>
      <c r="D187" s="9" t="s">
        <v>1330</v>
      </c>
      <c r="E187" s="10" t="str">
        <f>HYPERLINK("https://twitter.com/teuavlc/status/1065919291852242944","1065919291852242944")</f>
        <v>1065919291852242944</v>
      </c>
      <c r="F187" s="11"/>
      <c r="G187" s="11"/>
      <c r="H187" s="11"/>
      <c r="I187" s="12">
        <v>1</v>
      </c>
      <c r="J187" s="12">
        <v>1</v>
      </c>
      <c r="K187" s="13" t="str">
        <f t="shared" si="29"/>
        <v>Twitter for iPhone</v>
      </c>
      <c r="L187" s="12">
        <v>243</v>
      </c>
      <c r="M187" s="12">
        <v>235</v>
      </c>
      <c r="N187" s="12">
        <v>4</v>
      </c>
      <c r="O187" s="15"/>
      <c r="P187" s="6">
        <v>41703.502453703702</v>
      </c>
      <c r="Q187" s="11"/>
      <c r="R187" s="17" t="s">
        <v>1331</v>
      </c>
      <c r="S187" s="11"/>
      <c r="T187" s="11"/>
      <c r="U187" s="10" t="str">
        <f>HYPERLINK("https://pbs.twimg.com/profile_images/986277204488224768/PXvUcuAw.jpg","View")</f>
        <v>View</v>
      </c>
    </row>
    <row r="188" spans="1:21" ht="20.399999999999999">
      <c r="A188" s="6">
        <v>43427.113483796296</v>
      </c>
      <c r="B188" s="7" t="str">
        <f>HYPERLINK("https://twitter.com/misterdonpablo","@misterdonpablo")</f>
        <v>@misterdonpablo</v>
      </c>
      <c r="C188" s="8" t="s">
        <v>587</v>
      </c>
      <c r="D188" s="9" t="s">
        <v>588</v>
      </c>
      <c r="E188" s="10" t="str">
        <f>HYPERLINK("https://twitter.com/misterdonpablo/status/1065918735926640640","1065918735926640640")</f>
        <v>1065918735926640640</v>
      </c>
      <c r="F188" s="11"/>
      <c r="G188" s="14" t="s">
        <v>589</v>
      </c>
      <c r="H188" s="11"/>
      <c r="I188" s="12">
        <v>14</v>
      </c>
      <c r="J188" s="12">
        <v>8</v>
      </c>
      <c r="K188" s="13" t="str">
        <f t="shared" si="29"/>
        <v>Twitter for iPhone</v>
      </c>
      <c r="L188" s="12">
        <v>7842</v>
      </c>
      <c r="M188" s="12">
        <v>8515</v>
      </c>
      <c r="N188" s="12">
        <v>15</v>
      </c>
      <c r="O188" s="15"/>
      <c r="P188" s="6">
        <v>42242.587083333332</v>
      </c>
      <c r="Q188" s="11"/>
      <c r="R188" s="19"/>
      <c r="S188" s="11"/>
      <c r="T188" s="11"/>
      <c r="U188" s="10" t="str">
        <f>HYPERLINK("https://pbs.twimg.com/profile_images/636646791878995969/Fpg5rJ84.jpg","View")</f>
        <v>View</v>
      </c>
    </row>
    <row r="189" spans="1:21" ht="51">
      <c r="A189" s="6">
        <v>43427.110914351855</v>
      </c>
      <c r="B189" s="7" t="str">
        <f>HYPERLINK("https://twitter.com/ben_tro_","@ben_tro_")</f>
        <v>@ben_tro_</v>
      </c>
      <c r="C189" s="27" t="s">
        <v>1336</v>
      </c>
      <c r="D189" s="9" t="s">
        <v>1339</v>
      </c>
      <c r="E189" s="10" t="str">
        <f>HYPERLINK("https://twitter.com/ben_tro_/status/1065917808230481920","1065917808230481920")</f>
        <v>1065917808230481920</v>
      </c>
      <c r="F189" s="14" t="s">
        <v>96</v>
      </c>
      <c r="G189" s="14" t="s">
        <v>1340</v>
      </c>
      <c r="H189" s="11"/>
      <c r="I189" s="12">
        <v>0</v>
      </c>
      <c r="J189" s="12">
        <v>0</v>
      </c>
      <c r="K189" s="13" t="str">
        <f>HYPERLINK("http://twitter.com/download/android","Twitter for Android")</f>
        <v>Twitter for Android</v>
      </c>
      <c r="L189" s="12">
        <v>4457</v>
      </c>
      <c r="M189" s="12">
        <v>425</v>
      </c>
      <c r="N189" s="12">
        <v>233</v>
      </c>
      <c r="O189" s="15"/>
      <c r="P189" s="6">
        <v>39963.584282407406</v>
      </c>
      <c r="Q189" s="16" t="s">
        <v>38</v>
      </c>
      <c r="R189" s="17" t="s">
        <v>1343</v>
      </c>
      <c r="S189" s="14" t="s">
        <v>1344</v>
      </c>
      <c r="T189" s="11"/>
      <c r="U189" s="10" t="str">
        <f>HYPERLINK("https://pbs.twimg.com/profile_images/959352511286185984/B5v3ZsO0.jpg","View")</f>
        <v>View</v>
      </c>
    </row>
    <row r="190" spans="1:21" ht="20.399999999999999">
      <c r="A190" s="6">
        <v>43427.110081018516</v>
      </c>
      <c r="B190" s="7" t="str">
        <f>HYPERLINK("https://twitter.com/SER_Madrid","@SER_Madrid")</f>
        <v>@SER_Madrid</v>
      </c>
      <c r="C190" s="8" t="s">
        <v>1346</v>
      </c>
      <c r="D190" s="9" t="s">
        <v>369</v>
      </c>
      <c r="E190" s="10" t="str">
        <f>HYPERLINK("https://twitter.com/SER_Madrid/status/1065917506383163392","1065917506383163392")</f>
        <v>1065917506383163392</v>
      </c>
      <c r="F190" s="14" t="s">
        <v>371</v>
      </c>
      <c r="G190" s="11"/>
      <c r="H190" s="11"/>
      <c r="I190" s="12">
        <v>1</v>
      </c>
      <c r="J190" s="12">
        <v>0</v>
      </c>
      <c r="K190" s="13" t="str">
        <f t="shared" ref="K190:K192" si="30">HYPERLINK("http://twitter.com","Twitter Web Client")</f>
        <v>Twitter Web Client</v>
      </c>
      <c r="L190" s="12">
        <v>18584</v>
      </c>
      <c r="M190" s="12">
        <v>173</v>
      </c>
      <c r="N190" s="12">
        <v>502</v>
      </c>
      <c r="O190" s="18" t="s">
        <v>52</v>
      </c>
      <c r="P190" s="6">
        <v>40577.205810185187</v>
      </c>
      <c r="Q190" s="16" t="s">
        <v>38</v>
      </c>
      <c r="R190" s="17" t="s">
        <v>1352</v>
      </c>
      <c r="S190" s="14" t="s">
        <v>1353</v>
      </c>
      <c r="T190" s="11"/>
      <c r="U190" s="10" t="str">
        <f>HYPERLINK("https://pbs.twimg.com/profile_images/1055730186728206336/OZoCVm9q.jpg","View")</f>
        <v>View</v>
      </c>
    </row>
    <row r="191" spans="1:21" ht="30.6">
      <c r="A191" s="6">
        <v>43427.109270833331</v>
      </c>
      <c r="B191" s="7" t="str">
        <f>HYPERLINK("https://twitter.com/isabelinchen","@isabelinchen")</f>
        <v>@isabelinchen</v>
      </c>
      <c r="C191" s="8" t="s">
        <v>1354</v>
      </c>
      <c r="D191" s="9" t="s">
        <v>1356</v>
      </c>
      <c r="E191" s="10" t="str">
        <f>HYPERLINK("https://twitter.com/isabelinchen/status/1065917210504437760","1065917210504437760")</f>
        <v>1065917210504437760</v>
      </c>
      <c r="F191" s="14" t="s">
        <v>255</v>
      </c>
      <c r="G191" s="11"/>
      <c r="H191" s="11"/>
      <c r="I191" s="12">
        <v>1</v>
      </c>
      <c r="J191" s="12">
        <v>2</v>
      </c>
      <c r="K191" s="13" t="str">
        <f t="shared" si="30"/>
        <v>Twitter Web Client</v>
      </c>
      <c r="L191" s="12">
        <v>2138</v>
      </c>
      <c r="M191" s="12">
        <v>1892</v>
      </c>
      <c r="N191" s="12">
        <v>18</v>
      </c>
      <c r="O191" s="15"/>
      <c r="P191" s="6">
        <v>41307.551724537036</v>
      </c>
      <c r="Q191" s="11"/>
      <c r="R191" s="19"/>
      <c r="S191" s="11"/>
      <c r="T191" s="11"/>
      <c r="U191" s="10" t="str">
        <f>HYPERLINK("https://pbs.twimg.com/profile_images/3203808301/735f89107be7c056e0b68c0b892840c5.jpeg","View")</f>
        <v>View</v>
      </c>
    </row>
    <row r="192" spans="1:21" ht="20.399999999999999">
      <c r="A192" s="6">
        <v>43427.109189814815</v>
      </c>
      <c r="B192" s="7" t="str">
        <f>HYPERLINK("https://twitter.com/marialu08828186","@marialu08828186")</f>
        <v>@marialu08828186</v>
      </c>
      <c r="C192" s="8" t="s">
        <v>1360</v>
      </c>
      <c r="D192" s="9" t="s">
        <v>1361</v>
      </c>
      <c r="E192" s="10" t="str">
        <f>HYPERLINK("https://twitter.com/marialu08828186/status/1065917181190447104","1065917181190447104")</f>
        <v>1065917181190447104</v>
      </c>
      <c r="F192" s="14" t="s">
        <v>1364</v>
      </c>
      <c r="G192" s="11"/>
      <c r="H192" s="11"/>
      <c r="I192" s="12">
        <v>1</v>
      </c>
      <c r="J192" s="12">
        <v>0</v>
      </c>
      <c r="K192" s="13" t="str">
        <f t="shared" si="30"/>
        <v>Twitter Web Client</v>
      </c>
      <c r="L192" s="12">
        <v>264</v>
      </c>
      <c r="M192" s="12">
        <v>648</v>
      </c>
      <c r="N192" s="12">
        <v>0</v>
      </c>
      <c r="O192" s="15"/>
      <c r="P192" s="6">
        <v>41280.187280092592</v>
      </c>
      <c r="Q192" s="16" t="s">
        <v>1367</v>
      </c>
      <c r="R192" s="17" t="s">
        <v>1368</v>
      </c>
      <c r="S192" s="11"/>
      <c r="T192" s="11"/>
      <c r="U192" s="10" t="str">
        <f>HYPERLINK("https://pbs.twimg.com/profile_images/557991576018747392/UKFYBiD3.jpeg","View")</f>
        <v>View</v>
      </c>
    </row>
    <row r="193" spans="1:21" ht="30.6">
      <c r="A193" s="6">
        <v>43427.108344907407</v>
      </c>
      <c r="B193" s="7" t="str">
        <f>HYPERLINK("https://twitter.com/pressdigital","@pressdigital")</f>
        <v>@pressdigital</v>
      </c>
      <c r="C193" s="8" t="s">
        <v>453</v>
      </c>
      <c r="D193" s="9" t="s">
        <v>1371</v>
      </c>
      <c r="E193" s="10" t="str">
        <f>HYPERLINK("https://twitter.com/pressdigital/status/1065916875434061824","1065916875434061824")</f>
        <v>1065916875434061824</v>
      </c>
      <c r="F193" s="14" t="s">
        <v>1373</v>
      </c>
      <c r="G193" s="11"/>
      <c r="H193" s="11"/>
      <c r="I193" s="12">
        <v>0</v>
      </c>
      <c r="J193" s="12">
        <v>0</v>
      </c>
      <c r="K193" s="13" t="str">
        <f>HYPERLINK("https://buffer.com","Buffer")</f>
        <v>Buffer</v>
      </c>
      <c r="L193" s="12">
        <v>1203</v>
      </c>
      <c r="M193" s="12">
        <v>1054</v>
      </c>
      <c r="N193" s="12">
        <v>73</v>
      </c>
      <c r="O193" s="15"/>
      <c r="P193" s="6">
        <v>40142.461041666669</v>
      </c>
      <c r="Q193" s="16" t="s">
        <v>28</v>
      </c>
      <c r="R193" s="17" t="s">
        <v>458</v>
      </c>
      <c r="S193" s="14" t="s">
        <v>459</v>
      </c>
      <c r="T193" s="11"/>
      <c r="U193" s="10" t="str">
        <f>HYPERLINK("https://pbs.twimg.com/profile_images/686495616231444480/68bUHQ6J.jpg","View")</f>
        <v>View</v>
      </c>
    </row>
    <row r="194" spans="1:21" ht="20.399999999999999">
      <c r="A194" s="6">
        <v>43427.108333333337</v>
      </c>
      <c r="B194" s="7" t="str">
        <f>HYPERLINK("https://twitter.com/Jacobo7elbobo","@Jacobo7elbobo")</f>
        <v>@Jacobo7elbobo</v>
      </c>
      <c r="C194" s="8" t="s">
        <v>1376</v>
      </c>
      <c r="D194" s="9" t="s">
        <v>625</v>
      </c>
      <c r="E194" s="10" t="str">
        <f>HYPERLINK("https://twitter.com/Jacobo7elbobo/status/1065916870048587776","1065916870048587776")</f>
        <v>1065916870048587776</v>
      </c>
      <c r="F194" s="14" t="s">
        <v>255</v>
      </c>
      <c r="G194" s="11"/>
      <c r="H194" s="11"/>
      <c r="I194" s="12">
        <v>0</v>
      </c>
      <c r="J194" s="12">
        <v>1</v>
      </c>
      <c r="K194" s="13" t="str">
        <f t="shared" ref="K194:K196" si="31">HYPERLINK("http://twitter.com","Twitter Web Client")</f>
        <v>Twitter Web Client</v>
      </c>
      <c r="L194" s="12">
        <v>5397</v>
      </c>
      <c r="M194" s="12">
        <v>5149</v>
      </c>
      <c r="N194" s="12">
        <v>6</v>
      </c>
      <c r="O194" s="15"/>
      <c r="P194" s="6">
        <v>42315.618460648147</v>
      </c>
      <c r="Q194" s="16" t="s">
        <v>1379</v>
      </c>
      <c r="R194" s="17" t="s">
        <v>1380</v>
      </c>
      <c r="S194" s="11"/>
      <c r="T194" s="11"/>
      <c r="U194" s="10" t="str">
        <f>HYPERLINK("https://pbs.twimg.com/profile_images/972809079289675776/alLBdem6.jpg","View")</f>
        <v>View</v>
      </c>
    </row>
    <row r="195" spans="1:21" ht="40.799999999999997">
      <c r="A195" s="6">
        <v>43427.108194444445</v>
      </c>
      <c r="B195" s="7" t="str">
        <f>HYPERLINK("https://twitter.com/salvadorpastorb","@salvadorpastorb")</f>
        <v>@salvadorpastorb</v>
      </c>
      <c r="C195" s="8" t="s">
        <v>1382</v>
      </c>
      <c r="D195" s="9" t="s">
        <v>369</v>
      </c>
      <c r="E195" s="10" t="str">
        <f>HYPERLINK("https://twitter.com/salvadorpastorb/status/1065916818710159360","1065916818710159360")</f>
        <v>1065916818710159360</v>
      </c>
      <c r="F195" s="14" t="s">
        <v>371</v>
      </c>
      <c r="G195" s="11"/>
      <c r="H195" s="11"/>
      <c r="I195" s="12">
        <v>0</v>
      </c>
      <c r="J195" s="12">
        <v>0</v>
      </c>
      <c r="K195" s="13" t="str">
        <f t="shared" si="31"/>
        <v>Twitter Web Client</v>
      </c>
      <c r="L195" s="12">
        <v>1851</v>
      </c>
      <c r="M195" s="12">
        <v>5004</v>
      </c>
      <c r="N195" s="12">
        <v>50</v>
      </c>
      <c r="O195" s="15"/>
      <c r="P195" s="6">
        <v>40971.659629629634</v>
      </c>
      <c r="Q195" s="16" t="s">
        <v>28</v>
      </c>
      <c r="R195" s="17" t="s">
        <v>1383</v>
      </c>
      <c r="S195" s="14" t="s">
        <v>1384</v>
      </c>
      <c r="T195" s="11"/>
      <c r="U195" s="10" t="str">
        <f>HYPERLINK("https://pbs.twimg.com/profile_images/1872162133/Imagen__4_.jpg","View")</f>
        <v>View</v>
      </c>
    </row>
    <row r="196" spans="1:21" ht="30.6">
      <c r="A196" s="6">
        <v>43427.107442129629</v>
      </c>
      <c r="B196" s="7" t="str">
        <f>HYPERLINK("https://twitter.com/PEDRO_LUIS_FC","@PEDRO_LUIS_FC")</f>
        <v>@PEDRO_LUIS_FC</v>
      </c>
      <c r="C196" s="8" t="s">
        <v>1388</v>
      </c>
      <c r="D196" s="9" t="s">
        <v>1389</v>
      </c>
      <c r="E196" s="10" t="str">
        <f>HYPERLINK("https://twitter.com/PEDRO_LUIS_FC/status/1065916546957086720","1065916546957086720")</f>
        <v>1065916546957086720</v>
      </c>
      <c r="F196" s="14" t="s">
        <v>1390</v>
      </c>
      <c r="G196" s="11"/>
      <c r="H196" s="11"/>
      <c r="I196" s="12">
        <v>0</v>
      </c>
      <c r="J196" s="12">
        <v>0</v>
      </c>
      <c r="K196" s="13" t="str">
        <f t="shared" si="31"/>
        <v>Twitter Web Client</v>
      </c>
      <c r="L196" s="12">
        <v>1163</v>
      </c>
      <c r="M196" s="12">
        <v>1268</v>
      </c>
      <c r="N196" s="12">
        <v>3</v>
      </c>
      <c r="O196" s="15"/>
      <c r="P196" s="6">
        <v>40633.330694444448</v>
      </c>
      <c r="Q196" s="16" t="s">
        <v>1391</v>
      </c>
      <c r="R196" s="17" t="s">
        <v>1392</v>
      </c>
      <c r="S196" s="11"/>
      <c r="T196" s="11"/>
      <c r="U196" s="10" t="str">
        <f>HYPERLINK("https://pbs.twimg.com/profile_images/1029539053849509888/GUKC05V_.jpg","View")</f>
        <v>View</v>
      </c>
    </row>
    <row r="197" spans="1:21" ht="40.799999999999997">
      <c r="A197" s="6">
        <v>43427.107256944444</v>
      </c>
      <c r="B197" s="7" t="str">
        <f t="shared" ref="B197:B199" si="32">HYPERLINK("https://twitter.com/johnnyzuri","@johnnyzuri")</f>
        <v>@johnnyzuri</v>
      </c>
      <c r="C197" s="8" t="s">
        <v>1395</v>
      </c>
      <c r="D197" s="9" t="s">
        <v>1396</v>
      </c>
      <c r="E197" s="10" t="str">
        <f>HYPERLINK("https://twitter.com/johnnyzuri/status/1065916480225726464","1065916480225726464")</f>
        <v>1065916480225726464</v>
      </c>
      <c r="F197" s="14" t="s">
        <v>1398</v>
      </c>
      <c r="G197" s="11"/>
      <c r="H197" s="11"/>
      <c r="I197" s="12">
        <v>0</v>
      </c>
      <c r="J197" s="12">
        <v>0</v>
      </c>
      <c r="K197" s="13" t="str">
        <f t="shared" ref="K197:K199" si="33">HYPERLINK("https://www.google.com/","Google")</f>
        <v>Google</v>
      </c>
      <c r="L197" s="12">
        <v>2126</v>
      </c>
      <c r="M197" s="12">
        <v>2241</v>
      </c>
      <c r="N197" s="12">
        <v>145</v>
      </c>
      <c r="O197" s="15"/>
      <c r="P197" s="6">
        <v>40122.134363425925</v>
      </c>
      <c r="Q197" s="16" t="s">
        <v>28</v>
      </c>
      <c r="R197" s="17" t="s">
        <v>1400</v>
      </c>
      <c r="S197" s="14" t="s">
        <v>1401</v>
      </c>
      <c r="T197" s="11"/>
      <c r="U197" s="10" t="str">
        <f t="shared" ref="U197:U199" si="34">HYPERLINK("https://pbs.twimg.com/profile_images/843037203831971841/lUB_c4J6.jpg","View")</f>
        <v>View</v>
      </c>
    </row>
    <row r="198" spans="1:21" ht="40.799999999999997">
      <c r="A198" s="6">
        <v>43427.106956018513</v>
      </c>
      <c r="B198" s="7" t="str">
        <f t="shared" si="32"/>
        <v>@johnnyzuri</v>
      </c>
      <c r="C198" s="8" t="s">
        <v>1395</v>
      </c>
      <c r="D198" s="9" t="s">
        <v>1396</v>
      </c>
      <c r="E198" s="10" t="str">
        <f>HYPERLINK("https://twitter.com/johnnyzuri/status/1065916373744807937","1065916373744807937")</f>
        <v>1065916373744807937</v>
      </c>
      <c r="F198" s="14" t="s">
        <v>1398</v>
      </c>
      <c r="G198" s="11"/>
      <c r="H198" s="11"/>
      <c r="I198" s="12">
        <v>0</v>
      </c>
      <c r="J198" s="12">
        <v>0</v>
      </c>
      <c r="K198" s="13" t="str">
        <f t="shared" si="33"/>
        <v>Google</v>
      </c>
      <c r="L198" s="12">
        <v>2126</v>
      </c>
      <c r="M198" s="12">
        <v>2241</v>
      </c>
      <c r="N198" s="12">
        <v>145</v>
      </c>
      <c r="O198" s="15"/>
      <c r="P198" s="6">
        <v>40122.134363425925</v>
      </c>
      <c r="Q198" s="16" t="s">
        <v>28</v>
      </c>
      <c r="R198" s="17" t="s">
        <v>1400</v>
      </c>
      <c r="S198" s="14" t="s">
        <v>1401</v>
      </c>
      <c r="T198" s="11"/>
      <c r="U198" s="10" t="str">
        <f t="shared" si="34"/>
        <v>View</v>
      </c>
    </row>
    <row r="199" spans="1:21" ht="40.799999999999997">
      <c r="A199" s="6">
        <v>43427.106944444444</v>
      </c>
      <c r="B199" s="7" t="str">
        <f t="shared" si="32"/>
        <v>@johnnyzuri</v>
      </c>
      <c r="C199" s="8" t="s">
        <v>1395</v>
      </c>
      <c r="D199" s="9" t="s">
        <v>1407</v>
      </c>
      <c r="E199" s="10" t="str">
        <f>HYPERLINK("https://twitter.com/johnnyzuri/status/1065916366509744128","1065916366509744128")</f>
        <v>1065916366509744128</v>
      </c>
      <c r="F199" s="14" t="s">
        <v>1398</v>
      </c>
      <c r="G199" s="11"/>
      <c r="H199" s="11"/>
      <c r="I199" s="12">
        <v>0</v>
      </c>
      <c r="J199" s="12">
        <v>0</v>
      </c>
      <c r="K199" s="13" t="str">
        <f t="shared" si="33"/>
        <v>Google</v>
      </c>
      <c r="L199" s="12">
        <v>2126</v>
      </c>
      <c r="M199" s="12">
        <v>2241</v>
      </c>
      <c r="N199" s="12">
        <v>145</v>
      </c>
      <c r="O199" s="15"/>
      <c r="P199" s="6">
        <v>40122.134363425925</v>
      </c>
      <c r="Q199" s="16" t="s">
        <v>28</v>
      </c>
      <c r="R199" s="17" t="s">
        <v>1400</v>
      </c>
      <c r="S199" s="14" t="s">
        <v>1401</v>
      </c>
      <c r="T199" s="11"/>
      <c r="U199" s="10" t="str">
        <f t="shared" si="34"/>
        <v>View</v>
      </c>
    </row>
    <row r="200" spans="1:21" ht="40.799999999999997">
      <c r="A200" s="6">
        <v>43427.106631944444</v>
      </c>
      <c r="B200" s="7" t="str">
        <f>HYPERLINK("https://twitter.com/salvadorpastorb","@salvadorpastorb")</f>
        <v>@salvadorpastorb</v>
      </c>
      <c r="C200" s="8" t="s">
        <v>1382</v>
      </c>
      <c r="D200" s="9" t="s">
        <v>1410</v>
      </c>
      <c r="E200" s="10" t="str">
        <f>HYPERLINK("https://twitter.com/salvadorpastorb/status/1065916253880094720","1065916253880094720")</f>
        <v>1065916253880094720</v>
      </c>
      <c r="F200" s="14" t="s">
        <v>1411</v>
      </c>
      <c r="G200" s="11"/>
      <c r="H200" s="11"/>
      <c r="I200" s="12">
        <v>0</v>
      </c>
      <c r="J200" s="12">
        <v>0</v>
      </c>
      <c r="K200" s="13" t="str">
        <f>HYPERLINK("http://twitter.com","Twitter Web Client")</f>
        <v>Twitter Web Client</v>
      </c>
      <c r="L200" s="12">
        <v>1851</v>
      </c>
      <c r="M200" s="12">
        <v>5004</v>
      </c>
      <c r="N200" s="12">
        <v>50</v>
      </c>
      <c r="O200" s="15"/>
      <c r="P200" s="6">
        <v>40971.659629629634</v>
      </c>
      <c r="Q200" s="16" t="s">
        <v>28</v>
      </c>
      <c r="R200" s="17" t="s">
        <v>1383</v>
      </c>
      <c r="S200" s="14" t="s">
        <v>1384</v>
      </c>
      <c r="T200" s="11"/>
      <c r="U200" s="10" t="str">
        <f>HYPERLINK("https://pbs.twimg.com/profile_images/1872162133/Imagen__4_.jpg","View")</f>
        <v>View</v>
      </c>
    </row>
    <row r="201" spans="1:21" ht="20.399999999999999">
      <c r="A201" s="6">
        <v>43427.106516203705</v>
      </c>
      <c r="B201" s="7" t="str">
        <f>HYPERLINK("https://twitter.com/Ekkomoving","@Ekkomoving")</f>
        <v>@Ekkomoving</v>
      </c>
      <c r="C201" s="8" t="s">
        <v>1414</v>
      </c>
      <c r="D201" s="9" t="s">
        <v>1415</v>
      </c>
      <c r="E201" s="10" t="str">
        <f>HYPERLINK("https://twitter.com/Ekkomoving/status/1065916213853868032","1065916213853868032")</f>
        <v>1065916213853868032</v>
      </c>
      <c r="F201" s="14" t="s">
        <v>1416</v>
      </c>
      <c r="G201" s="11"/>
      <c r="H201" s="11"/>
      <c r="I201" s="12">
        <v>0</v>
      </c>
      <c r="J201" s="12">
        <v>0</v>
      </c>
      <c r="K201" s="13" t="str">
        <f>HYPERLINK("http://www.facebook.com/twitter","Facebook")</f>
        <v>Facebook</v>
      </c>
      <c r="L201" s="12">
        <v>8802</v>
      </c>
      <c r="M201" s="12">
        <v>6976</v>
      </c>
      <c r="N201" s="12">
        <v>209</v>
      </c>
      <c r="O201" s="15"/>
      <c r="P201" s="6">
        <v>40867.051365740743</v>
      </c>
      <c r="Q201" s="16" t="s">
        <v>1420</v>
      </c>
      <c r="R201" s="17" t="s">
        <v>1421</v>
      </c>
      <c r="S201" s="14" t="s">
        <v>1422</v>
      </c>
      <c r="T201" s="11"/>
      <c r="U201" s="10" t="str">
        <f>HYPERLINK("https://pbs.twimg.com/profile_images/880442989176381440/Eg95yVPR.jpg","View")</f>
        <v>View</v>
      </c>
    </row>
    <row r="202" spans="1:21" ht="40.799999999999997">
      <c r="A202" s="6">
        <v>43427.102858796294</v>
      </c>
      <c r="B202" s="7" t="str">
        <f>HYPERLINK("https://twitter.com/PioIin","@PioIin")</f>
        <v>@PioIin</v>
      </c>
      <c r="C202" s="8" t="s">
        <v>1423</v>
      </c>
      <c r="D202" s="9" t="s">
        <v>1424</v>
      </c>
      <c r="E202" s="10" t="str">
        <f>HYPERLINK("https://twitter.com/PioIin/status/1065914886671220737","1065914886671220737")</f>
        <v>1065914886671220737</v>
      </c>
      <c r="F202" s="14" t="s">
        <v>1425</v>
      </c>
      <c r="G202" s="14" t="s">
        <v>1426</v>
      </c>
      <c r="H202" s="11"/>
      <c r="I202" s="12">
        <v>0</v>
      </c>
      <c r="J202" s="12">
        <v>3</v>
      </c>
      <c r="K202" s="13" t="str">
        <f>HYPERLINK("http://twitter.com","Twitter Web Client")</f>
        <v>Twitter Web Client</v>
      </c>
      <c r="L202" s="12">
        <v>304</v>
      </c>
      <c r="M202" s="12">
        <v>103</v>
      </c>
      <c r="N202" s="12">
        <v>2</v>
      </c>
      <c r="O202" s="15"/>
      <c r="P202" s="6">
        <v>41874.393634259257</v>
      </c>
      <c r="Q202" s="16" t="s">
        <v>87</v>
      </c>
      <c r="R202" s="17" t="s">
        <v>1430</v>
      </c>
      <c r="S202" s="11"/>
      <c r="T202" s="11"/>
      <c r="U202" s="10" t="str">
        <f>HYPERLINK("https://pbs.twimg.com/profile_images/1063714235518210054/_bfeKOla.jpg","View")</f>
        <v>View</v>
      </c>
    </row>
    <row r="203" spans="1:21" ht="20.399999999999999">
      <c r="A203" s="6">
        <v>43427.10261574074</v>
      </c>
      <c r="B203" s="7" t="str">
        <f>HYPERLINK("https://twitter.com/JulioGanguita","@JulioGanguita")</f>
        <v>@JulioGanguita</v>
      </c>
      <c r="C203" s="8" t="s">
        <v>1434</v>
      </c>
      <c r="D203" s="9" t="s">
        <v>1435</v>
      </c>
      <c r="E203" s="10" t="str">
        <f>HYPERLINK("https://twitter.com/JulioGanguita/status/1065914798704087040","1065914798704087040")</f>
        <v>1065914798704087040</v>
      </c>
      <c r="F203" s="14" t="s">
        <v>1436</v>
      </c>
      <c r="G203" s="11"/>
      <c r="H203" s="11"/>
      <c r="I203" s="12">
        <v>0</v>
      </c>
      <c r="J203" s="12">
        <v>0</v>
      </c>
      <c r="K203" s="13" t="str">
        <f>HYPERLINK("https://ifttt.com","IFTTT")</f>
        <v>IFTTT</v>
      </c>
      <c r="L203" s="12">
        <v>970</v>
      </c>
      <c r="M203" s="12">
        <v>1608</v>
      </c>
      <c r="N203" s="12">
        <v>3</v>
      </c>
      <c r="O203" s="15"/>
      <c r="P203" s="6">
        <v>41982.168564814812</v>
      </c>
      <c r="Q203" s="16" t="s">
        <v>1437</v>
      </c>
      <c r="R203" s="17" t="s">
        <v>1438</v>
      </c>
      <c r="S203" s="11"/>
      <c r="T203" s="11"/>
      <c r="U203" s="10" t="str">
        <f>HYPERLINK("https://pbs.twimg.com/profile_images/859057418386497536/1I406mDG.jpg","View")</f>
        <v>View</v>
      </c>
    </row>
    <row r="204" spans="1:21" ht="40.799999999999997">
      <c r="A204" s="6">
        <v>43427.102407407408</v>
      </c>
      <c r="B204" s="7" t="str">
        <f>HYPERLINK("https://twitter.com/LasoNestor","@LasoNestor")</f>
        <v>@LasoNestor</v>
      </c>
      <c r="C204" s="8" t="s">
        <v>1441</v>
      </c>
      <c r="D204" s="9" t="s">
        <v>1442</v>
      </c>
      <c r="E204" s="10" t="str">
        <f>HYPERLINK("https://twitter.com/LasoNestor/status/1065914722179055617","1065914722179055617")</f>
        <v>1065914722179055617</v>
      </c>
      <c r="F204" s="14" t="s">
        <v>230</v>
      </c>
      <c r="G204" s="11"/>
      <c r="H204" s="11"/>
      <c r="I204" s="12">
        <v>2</v>
      </c>
      <c r="J204" s="12">
        <v>2</v>
      </c>
      <c r="K204" s="13" t="str">
        <f>HYPERLINK("http://twitter.com/download/android","Twitter for Android")</f>
        <v>Twitter for Android</v>
      </c>
      <c r="L204" s="12">
        <v>337</v>
      </c>
      <c r="M204" s="12">
        <v>142</v>
      </c>
      <c r="N204" s="12">
        <v>3</v>
      </c>
      <c r="O204" s="15"/>
      <c r="P204" s="6">
        <v>43390.541284722218</v>
      </c>
      <c r="Q204" s="16" t="s">
        <v>28</v>
      </c>
      <c r="R204" s="17" t="s">
        <v>1443</v>
      </c>
      <c r="S204" s="11"/>
      <c r="T204" s="11"/>
      <c r="U204" s="10" t="str">
        <f>HYPERLINK("https://pbs.twimg.com/profile_images/1054039893435932673/5Z1wf78J.jpg","View")</f>
        <v>View</v>
      </c>
    </row>
    <row r="205" spans="1:21" ht="51">
      <c r="A205" s="6">
        <v>43427.1019212963</v>
      </c>
      <c r="B205" s="7" t="str">
        <f>HYPERLINK("https://twitter.com/jgpast","@jgpast")</f>
        <v>@jgpast</v>
      </c>
      <c r="C205" s="8" t="s">
        <v>272</v>
      </c>
      <c r="D205" s="9" t="s">
        <v>591</v>
      </c>
      <c r="E205" s="10" t="str">
        <f>HYPERLINK("https://twitter.com/jgpast/status/1065914547079397376","1065914547079397376")</f>
        <v>1065914547079397376</v>
      </c>
      <c r="F205" s="11"/>
      <c r="G205" s="11"/>
      <c r="H205" s="11"/>
      <c r="I205" s="12">
        <v>0</v>
      </c>
      <c r="J205" s="12">
        <v>2</v>
      </c>
      <c r="K205" s="13" t="str">
        <f>HYPERLINK("https://mobile.twitter.com","Twitter Lite")</f>
        <v>Twitter Lite</v>
      </c>
      <c r="L205" s="12">
        <v>1308</v>
      </c>
      <c r="M205" s="12">
        <v>1302</v>
      </c>
      <c r="N205" s="12">
        <v>34</v>
      </c>
      <c r="O205" s="15"/>
      <c r="P205" s="6">
        <v>40854.687557870369</v>
      </c>
      <c r="Q205" s="16" t="s">
        <v>278</v>
      </c>
      <c r="R205" s="17" t="s">
        <v>279</v>
      </c>
      <c r="S205" s="11"/>
      <c r="T205" s="11"/>
      <c r="U205" s="10" t="str">
        <f>HYPERLINK("https://pbs.twimg.com/profile_images/1050981230240522240/rqYPwIUZ.jpg","View")</f>
        <v>View</v>
      </c>
    </row>
    <row r="206" spans="1:21" ht="51">
      <c r="A206" s="6">
        <v>43427.101689814815</v>
      </c>
      <c r="B206" s="7" t="str">
        <f>HYPERLINK("https://twitter.com/sedoac","@sedoac")</f>
        <v>@sedoac</v>
      </c>
      <c r="C206" s="8" t="s">
        <v>578</v>
      </c>
      <c r="D206" s="9" t="s">
        <v>594</v>
      </c>
      <c r="E206" s="10" t="str">
        <f>HYPERLINK("https://twitter.com/sedoac/status/1065914461469491201","1065914461469491201")</f>
        <v>1065914461469491201</v>
      </c>
      <c r="F206" s="14" t="s">
        <v>580</v>
      </c>
      <c r="G206" s="11"/>
      <c r="H206" s="11"/>
      <c r="I206" s="12">
        <v>2</v>
      </c>
      <c r="J206" s="12">
        <v>2</v>
      </c>
      <c r="K206" s="13" t="str">
        <f t="shared" ref="K206:K207" si="35">HYPERLINK("http://twitter.com/download/android","Twitter for Android")</f>
        <v>Twitter for Android</v>
      </c>
      <c r="L206" s="12">
        <v>909</v>
      </c>
      <c r="M206" s="12">
        <v>511</v>
      </c>
      <c r="N206" s="12">
        <v>18</v>
      </c>
      <c r="O206" s="15"/>
      <c r="P206" s="6">
        <v>42083.202893518523</v>
      </c>
      <c r="Q206" s="16" t="s">
        <v>87</v>
      </c>
      <c r="R206" s="17" t="s">
        <v>581</v>
      </c>
      <c r="S206" s="14" t="s">
        <v>582</v>
      </c>
      <c r="T206" s="11"/>
      <c r="U206" s="10" t="str">
        <f>HYPERLINK("https://pbs.twimg.com/profile_images/1004804826151124992/EB5i-gbt.jpg","View")</f>
        <v>View</v>
      </c>
    </row>
    <row r="207" spans="1:21" ht="20.399999999999999">
      <c r="A207" s="6">
        <v>43427.10155092593</v>
      </c>
      <c r="B207" s="7" t="str">
        <f>HYPERLINK("https://twitter.com/robertrefort3","@robertrefort3")</f>
        <v>@robertrefort3</v>
      </c>
      <c r="C207" s="8" t="s">
        <v>1453</v>
      </c>
      <c r="D207" s="9" t="s">
        <v>1454</v>
      </c>
      <c r="E207" s="10" t="str">
        <f>HYPERLINK("https://twitter.com/robertrefort3/status/1065914414006771713","1065914414006771713")</f>
        <v>1065914414006771713</v>
      </c>
      <c r="F207" s="11"/>
      <c r="G207" s="11"/>
      <c r="H207" s="11"/>
      <c r="I207" s="12">
        <v>0</v>
      </c>
      <c r="J207" s="12">
        <v>0</v>
      </c>
      <c r="K207" s="13" t="str">
        <f t="shared" si="35"/>
        <v>Twitter for Android</v>
      </c>
      <c r="L207" s="12">
        <v>54</v>
      </c>
      <c r="M207" s="12">
        <v>131</v>
      </c>
      <c r="N207" s="12">
        <v>0</v>
      </c>
      <c r="O207" s="15"/>
      <c r="P207" s="6">
        <v>42765.167245370365</v>
      </c>
      <c r="Q207" s="11"/>
      <c r="R207" s="19"/>
      <c r="S207" s="11"/>
      <c r="T207" s="11"/>
      <c r="U207" s="18" t="s">
        <v>168</v>
      </c>
    </row>
    <row r="208" spans="1:21" ht="30.6">
      <c r="A208" s="6">
        <v>43427.100949074069</v>
      </c>
      <c r="B208" s="7" t="str">
        <f>HYPERLINK("https://twitter.com/aquilavida","@aquilavida")</f>
        <v>@aquilavida</v>
      </c>
      <c r="C208" s="8" t="s">
        <v>1459</v>
      </c>
      <c r="D208" s="9" t="s">
        <v>1460</v>
      </c>
      <c r="E208" s="10" t="str">
        <f>HYPERLINK("https://twitter.com/aquilavida/status/1065914194573312000","1065914194573312000")</f>
        <v>1065914194573312000</v>
      </c>
      <c r="F208" s="14" t="s">
        <v>1461</v>
      </c>
      <c r="G208" s="11"/>
      <c r="H208" s="11"/>
      <c r="I208" s="12">
        <v>0</v>
      </c>
      <c r="J208" s="12">
        <v>0</v>
      </c>
      <c r="K208" s="13" t="str">
        <f>HYPERLINK("https://ifttt.com","IFTTT")</f>
        <v>IFTTT</v>
      </c>
      <c r="L208" s="12">
        <v>240</v>
      </c>
      <c r="M208" s="12">
        <v>233</v>
      </c>
      <c r="N208" s="12">
        <v>55</v>
      </c>
      <c r="O208" s="15"/>
      <c r="P208" s="6">
        <v>40665.323576388888</v>
      </c>
      <c r="Q208" s="16" t="s">
        <v>38</v>
      </c>
      <c r="R208" s="17" t="s">
        <v>1464</v>
      </c>
      <c r="S208" s="11"/>
      <c r="T208" s="11"/>
      <c r="U208" s="10" t="str">
        <f>HYPERLINK("https://pbs.twimg.com/profile_images/1658515048/image.jpg","View")</f>
        <v>View</v>
      </c>
    </row>
    <row r="209" spans="1:21" ht="20.399999999999999">
      <c r="A209" s="6">
        <v>43427.100451388891</v>
      </c>
      <c r="B209" s="7" t="str">
        <f>HYPERLINK("https://twitter.com/pabloal05743398","@pabloal05743398")</f>
        <v>@pabloal05743398</v>
      </c>
      <c r="C209" s="8" t="s">
        <v>1465</v>
      </c>
      <c r="D209" s="9" t="s">
        <v>625</v>
      </c>
      <c r="E209" s="10" t="str">
        <f>HYPERLINK("https://twitter.com/pabloal05743398/status/1065914015925395456","1065914015925395456")</f>
        <v>1065914015925395456</v>
      </c>
      <c r="F209" s="14" t="s">
        <v>1466</v>
      </c>
      <c r="G209" s="11"/>
      <c r="H209" s="11"/>
      <c r="I209" s="12">
        <v>0</v>
      </c>
      <c r="J209" s="12">
        <v>0</v>
      </c>
      <c r="K209" s="13" t="str">
        <f t="shared" ref="K209:K210" si="36">HYPERLINK("http://twitter.com","Twitter Web Client")</f>
        <v>Twitter Web Client</v>
      </c>
      <c r="L209" s="12">
        <v>0</v>
      </c>
      <c r="M209" s="12">
        <v>1</v>
      </c>
      <c r="N209" s="12">
        <v>0</v>
      </c>
      <c r="O209" s="15"/>
      <c r="P209" s="6">
        <v>43412.367337962962</v>
      </c>
      <c r="Q209" s="11"/>
      <c r="R209" s="19"/>
      <c r="S209" s="11"/>
      <c r="T209" s="11"/>
      <c r="U209" s="10" t="str">
        <f>HYPERLINK("https://pbs.twimg.com/profile_images/1060577147843239936/znCCIBd5.jpg","View")</f>
        <v>View</v>
      </c>
    </row>
    <row r="210" spans="1:21" ht="40.799999999999997">
      <c r="A210" s="6">
        <v>43427.100347222222</v>
      </c>
      <c r="B210" s="7" t="str">
        <f>HYPERLINK("https://twitter.com/Madridiario","@Madridiario")</f>
        <v>@Madridiario</v>
      </c>
      <c r="C210" s="22" t="s">
        <v>600</v>
      </c>
      <c r="D210" s="9" t="s">
        <v>601</v>
      </c>
      <c r="E210" s="10" t="str">
        <f>HYPERLINK("https://twitter.com/Madridiario/status/1065913978398957569","1065913978398957569")</f>
        <v>1065913978398957569</v>
      </c>
      <c r="F210" s="14" t="s">
        <v>604</v>
      </c>
      <c r="G210" s="11"/>
      <c r="H210" s="11"/>
      <c r="I210" s="12">
        <v>1</v>
      </c>
      <c r="J210" s="12">
        <v>0</v>
      </c>
      <c r="K210" s="13" t="str">
        <f t="shared" si="36"/>
        <v>Twitter Web Client</v>
      </c>
      <c r="L210" s="12">
        <v>54570</v>
      </c>
      <c r="M210" s="12">
        <v>4653</v>
      </c>
      <c r="N210" s="12">
        <v>1659</v>
      </c>
      <c r="O210" s="15"/>
      <c r="P210" s="6">
        <v>39877.334236111114</v>
      </c>
      <c r="Q210" s="16" t="s">
        <v>38</v>
      </c>
      <c r="R210" s="17" t="s">
        <v>605</v>
      </c>
      <c r="S210" s="14" t="s">
        <v>607</v>
      </c>
      <c r="T210" s="11"/>
      <c r="U210" s="10" t="str">
        <f>HYPERLINK("https://pbs.twimg.com/profile_images/1038907502312730626/r2b6nh54.jpg","View")</f>
        <v>View</v>
      </c>
    </row>
    <row r="211" spans="1:21" ht="30.6">
      <c r="A211" s="6">
        <v>43427.100243055553</v>
      </c>
      <c r="B211" s="7" t="str">
        <f>HYPERLINK("https://twitter.com/gara_ice","@gara_ice")</f>
        <v>@gara_ice</v>
      </c>
      <c r="C211" s="8" t="s">
        <v>1475</v>
      </c>
      <c r="D211" s="9" t="s">
        <v>1476</v>
      </c>
      <c r="E211" s="10" t="str">
        <f>HYPERLINK("https://twitter.com/gara_ice/status/1065913940557860864","1065913940557860864")</f>
        <v>1065913940557860864</v>
      </c>
      <c r="F211" s="14" t="s">
        <v>1478</v>
      </c>
      <c r="G211" s="11"/>
      <c r="H211" s="11"/>
      <c r="I211" s="12">
        <v>0</v>
      </c>
      <c r="J211" s="12">
        <v>0</v>
      </c>
      <c r="K211" s="13" t="str">
        <f>HYPERLINK("https://ifttt.com","IFTTT")</f>
        <v>IFTTT</v>
      </c>
      <c r="L211" s="12">
        <v>445</v>
      </c>
      <c r="M211" s="12">
        <v>434</v>
      </c>
      <c r="N211" s="12">
        <v>10</v>
      </c>
      <c r="O211" s="15"/>
      <c r="P211" s="6">
        <v>39590.060324074075</v>
      </c>
      <c r="Q211" s="11"/>
      <c r="R211" s="19"/>
      <c r="S211" s="11"/>
      <c r="T211" s="11"/>
      <c r="U211" s="10" t="str">
        <f>HYPERLINK("https://pbs.twimg.com/profile_images/561850533468971008/-4f3cnLr.jpeg","View")</f>
        <v>View</v>
      </c>
    </row>
    <row r="212" spans="1:21" ht="51">
      <c r="A212" s="6">
        <v>43427.100150462968</v>
      </c>
      <c r="B212" s="7" t="str">
        <f>HYPERLINK("https://twitter.com/jalvhdez","@jalvhdez")</f>
        <v>@jalvhdez</v>
      </c>
      <c r="C212" s="8" t="s">
        <v>1480</v>
      </c>
      <c r="D212" s="9" t="s">
        <v>1481</v>
      </c>
      <c r="E212" s="10" t="str">
        <f>HYPERLINK("https://twitter.com/jalvhdez/status/1065913904893702145","1065913904893702145")</f>
        <v>1065913904893702145</v>
      </c>
      <c r="F212" s="11"/>
      <c r="G212" s="11"/>
      <c r="H212" s="11"/>
      <c r="I212" s="12">
        <v>0</v>
      </c>
      <c r="J212" s="12">
        <v>0</v>
      </c>
      <c r="K212" s="13" t="str">
        <f>HYPERLINK("http://twitter.com/download/iphone","Twitter for iPhone")</f>
        <v>Twitter for iPhone</v>
      </c>
      <c r="L212" s="12">
        <v>44</v>
      </c>
      <c r="M212" s="12">
        <v>114</v>
      </c>
      <c r="N212" s="12">
        <v>2</v>
      </c>
      <c r="O212" s="15"/>
      <c r="P212" s="6">
        <v>41223.105590277773</v>
      </c>
      <c r="Q212" s="11"/>
      <c r="R212" s="19"/>
      <c r="S212" s="11"/>
      <c r="T212" s="11"/>
      <c r="U212" s="10" t="str">
        <f>HYPERLINK("https://pbs.twimg.com/profile_images/1036291894517661696/VfqN7qcn.jpg","View")</f>
        <v>View</v>
      </c>
    </row>
    <row r="213" spans="1:21" ht="51">
      <c r="A213" s="6">
        <v>43427.100011574075</v>
      </c>
      <c r="B213" s="7" t="str">
        <f>HYPERLINK("https://twitter.com/vtuda","@vtuda")</f>
        <v>@vtuda</v>
      </c>
      <c r="C213" s="8" t="s">
        <v>609</v>
      </c>
      <c r="D213" s="9" t="s">
        <v>610</v>
      </c>
      <c r="E213" s="10" t="str">
        <f>HYPERLINK("https://twitter.com/vtuda/status/1065913855900114944","1065913855900114944")</f>
        <v>1065913855900114944</v>
      </c>
      <c r="F213" s="14" t="s">
        <v>611</v>
      </c>
      <c r="G213" s="11"/>
      <c r="H213" s="11"/>
      <c r="I213" s="12">
        <v>0</v>
      </c>
      <c r="J213" s="12">
        <v>0</v>
      </c>
      <c r="K213" s="13" t="str">
        <f t="shared" ref="K213:K214" si="37">HYPERLINK("http://twitter.com","Twitter Web Client")</f>
        <v>Twitter Web Client</v>
      </c>
      <c r="L213" s="12">
        <v>447</v>
      </c>
      <c r="M213" s="12">
        <v>1725</v>
      </c>
      <c r="N213" s="12">
        <v>16</v>
      </c>
      <c r="O213" s="15"/>
      <c r="P213" s="6">
        <v>40244.198645833334</v>
      </c>
      <c r="Q213" s="16" t="s">
        <v>612</v>
      </c>
      <c r="R213" s="17" t="s">
        <v>613</v>
      </c>
      <c r="S213" s="11"/>
      <c r="T213" s="11"/>
      <c r="U213" s="10" t="str">
        <f>HYPERLINK("https://pbs.twimg.com/profile_images/1043909155977920512/oWw0Kjfp.jpg","View")</f>
        <v>View</v>
      </c>
    </row>
    <row r="214" spans="1:21" ht="51">
      <c r="A214" s="6">
        <v>43427.098692129628</v>
      </c>
      <c r="B214" s="7" t="str">
        <f>HYPERLINK("https://twitter.com/abiertoespacio","@abiertoespacio")</f>
        <v>@abiertoespacio</v>
      </c>
      <c r="C214" s="8" t="s">
        <v>614</v>
      </c>
      <c r="D214" s="9" t="s">
        <v>615</v>
      </c>
      <c r="E214" s="10" t="str">
        <f>HYPERLINK("https://twitter.com/abiertoespacio/status/1065913378823184384","1065913378823184384")</f>
        <v>1065913378823184384</v>
      </c>
      <c r="F214" s="14" t="s">
        <v>617</v>
      </c>
      <c r="G214" s="11"/>
      <c r="H214" s="11"/>
      <c r="I214" s="12">
        <v>0</v>
      </c>
      <c r="J214" s="12">
        <v>1</v>
      </c>
      <c r="K214" s="13" t="str">
        <f t="shared" si="37"/>
        <v>Twitter Web Client</v>
      </c>
      <c r="L214" s="12">
        <v>585</v>
      </c>
      <c r="M214" s="12">
        <v>1107</v>
      </c>
      <c r="N214" s="12">
        <v>1</v>
      </c>
      <c r="O214" s="15"/>
      <c r="P214" s="6">
        <v>41568.194733796292</v>
      </c>
      <c r="Q214" s="16" t="s">
        <v>618</v>
      </c>
      <c r="R214" s="19"/>
      <c r="S214" s="14" t="s">
        <v>619</v>
      </c>
      <c r="T214" s="11"/>
      <c r="U214" s="10" t="str">
        <f>HYPERLINK("https://pbs.twimg.com/profile_images/378800000645498774/fbb85aad553889e86c4033e9827dd6da.jpeg","View")</f>
        <v>View</v>
      </c>
    </row>
    <row r="215" spans="1:21" ht="20.399999999999999">
      <c r="A215" s="6">
        <v>43427.098668981482</v>
      </c>
      <c r="B215" s="7" t="str">
        <f>HYPERLINK("https://twitter.com/ECEspana","@ECEspana")</f>
        <v>@ECEspana</v>
      </c>
      <c r="C215" s="8" t="s">
        <v>1496</v>
      </c>
      <c r="D215" s="9" t="s">
        <v>1435</v>
      </c>
      <c r="E215" s="10" t="str">
        <f>HYPERLINK("https://twitter.com/ECEspana/status/1065913367808757760","1065913367808757760")</f>
        <v>1065913367808757760</v>
      </c>
      <c r="F215" s="14" t="s">
        <v>1497</v>
      </c>
      <c r="G215" s="11"/>
      <c r="H215" s="11"/>
      <c r="I215" s="12">
        <v>0</v>
      </c>
      <c r="J215" s="12">
        <v>0</v>
      </c>
      <c r="K215" s="13" t="str">
        <f>HYPERLINK("https://dlvrit.com/","dlvr.it")</f>
        <v>dlvr.it</v>
      </c>
      <c r="L215" s="12">
        <v>1900</v>
      </c>
      <c r="M215" s="12">
        <v>91</v>
      </c>
      <c r="N215" s="12">
        <v>83</v>
      </c>
      <c r="O215" s="15"/>
      <c r="P215" s="6">
        <v>42291.409953703704</v>
      </c>
      <c r="Q215" s="16" t="s">
        <v>87</v>
      </c>
      <c r="R215" s="17" t="s">
        <v>1498</v>
      </c>
      <c r="S215" s="14" t="s">
        <v>1499</v>
      </c>
      <c r="T215" s="11"/>
      <c r="U215" s="10" t="str">
        <f>HYPERLINK("https://pbs.twimg.com/profile_images/831789838693183488/XYTdUPcP.jpg","View")</f>
        <v>View</v>
      </c>
    </row>
    <row r="216" spans="1:21" ht="61.2">
      <c r="A216" s="6">
        <v>43427.098229166666</v>
      </c>
      <c r="B216" s="7" t="str">
        <f>HYPERLINK("https://twitter.com/GorgojeodeJesus","@GorgojeodeJesus")</f>
        <v>@GorgojeodeJesus</v>
      </c>
      <c r="C216" s="8" t="s">
        <v>622</v>
      </c>
      <c r="D216" s="9" t="s">
        <v>623</v>
      </c>
      <c r="E216" s="10" t="str">
        <f>HYPERLINK("https://twitter.com/GorgojeodeJesus/status/1065913208588910592","1065913208588910592")</f>
        <v>1065913208588910592</v>
      </c>
      <c r="F216" s="11"/>
      <c r="G216" s="11"/>
      <c r="H216" s="11"/>
      <c r="I216" s="12">
        <v>0</v>
      </c>
      <c r="J216" s="12">
        <v>0</v>
      </c>
      <c r="K216" s="13" t="str">
        <f>HYPERLINK("http://twitter.com/download/iphone","Twitter for iPhone")</f>
        <v>Twitter for iPhone</v>
      </c>
      <c r="L216" s="12">
        <v>490</v>
      </c>
      <c r="M216" s="12">
        <v>1240</v>
      </c>
      <c r="N216" s="12">
        <v>5</v>
      </c>
      <c r="O216" s="15"/>
      <c r="P216" s="6">
        <v>40949.019687499997</v>
      </c>
      <c r="Q216" s="16" t="s">
        <v>626</v>
      </c>
      <c r="R216" s="17" t="s">
        <v>627</v>
      </c>
      <c r="S216" s="11"/>
      <c r="T216" s="11"/>
      <c r="U216" s="10" t="str">
        <f>HYPERLINK("https://pbs.twimg.com/profile_images/1064469679727628289/XQLgpRgi.jpg","View")</f>
        <v>View</v>
      </c>
    </row>
    <row r="217" spans="1:21" ht="20.399999999999999">
      <c r="A217" s="6">
        <v>43427.098032407404</v>
      </c>
      <c r="B217" s="7" t="str">
        <f>HYPERLINK("https://twitter.com/FlipB_","@FlipB_")</f>
        <v>@FlipB_</v>
      </c>
      <c r="C217" s="8" t="s">
        <v>1507</v>
      </c>
      <c r="D217" s="9" t="s">
        <v>1508</v>
      </c>
      <c r="E217" s="10" t="str">
        <f>HYPERLINK("https://twitter.com/FlipB_/status/1065913138837684224","1065913138837684224")</f>
        <v>1065913138837684224</v>
      </c>
      <c r="F217" s="14" t="s">
        <v>1461</v>
      </c>
      <c r="G217" s="11"/>
      <c r="H217" s="11"/>
      <c r="I217" s="12">
        <v>0</v>
      </c>
      <c r="J217" s="12">
        <v>0</v>
      </c>
      <c r="K217" s="13" t="str">
        <f>HYPERLINK("https://ifttt.com","IFTTT")</f>
        <v>IFTTT</v>
      </c>
      <c r="L217" s="12">
        <v>60</v>
      </c>
      <c r="M217" s="12">
        <v>3</v>
      </c>
      <c r="N217" s="12">
        <v>12</v>
      </c>
      <c r="O217" s="15"/>
      <c r="P217" s="6">
        <v>42261.306203703702</v>
      </c>
      <c r="Q217" s="11"/>
      <c r="R217" s="19"/>
      <c r="S217" s="11"/>
      <c r="T217" s="11"/>
      <c r="U217" s="10" t="str">
        <f>HYPERLINK("https://pbs.twimg.com/profile_images/755670861819047937/3YnQFVdp.jpg","View")</f>
        <v>View</v>
      </c>
    </row>
    <row r="218" spans="1:21" ht="51">
      <c r="A218" s="6">
        <v>43427.09783564815</v>
      </c>
      <c r="B218" s="7" t="str">
        <f>HYPERLINK("https://twitter.com/jesusnino","@jesusnino")</f>
        <v>@jesusnino</v>
      </c>
      <c r="C218" s="8" t="s">
        <v>1514</v>
      </c>
      <c r="D218" s="9" t="s">
        <v>1515</v>
      </c>
      <c r="E218" s="10" t="str">
        <f>HYPERLINK("https://twitter.com/jesusnino/status/1065913065600892928","1065913065600892928")</f>
        <v>1065913065600892928</v>
      </c>
      <c r="F218" s="11"/>
      <c r="G218" s="11"/>
      <c r="H218" s="11"/>
      <c r="I218" s="12">
        <v>0</v>
      </c>
      <c r="J218" s="12">
        <v>0</v>
      </c>
      <c r="K218" s="13" t="str">
        <f t="shared" ref="K218:K221" si="38">HYPERLINK("http://twitter.com","Twitter Web Client")</f>
        <v>Twitter Web Client</v>
      </c>
      <c r="L218" s="12">
        <v>21</v>
      </c>
      <c r="M218" s="12">
        <v>9</v>
      </c>
      <c r="N218" s="12">
        <v>0</v>
      </c>
      <c r="O218" s="15"/>
      <c r="P218" s="6">
        <v>40025.484050925923</v>
      </c>
      <c r="Q218" s="16" t="s">
        <v>1518</v>
      </c>
      <c r="R218" s="17" t="s">
        <v>1519</v>
      </c>
      <c r="S218" s="14" t="s">
        <v>1520</v>
      </c>
      <c r="T218" s="11"/>
      <c r="U218" s="10" t="str">
        <f>HYPERLINK("https://pbs.twimg.com/profile_images/352018726/DSC02825.JPG","View")</f>
        <v>View</v>
      </c>
    </row>
    <row r="219" spans="1:21" ht="40.799999999999997">
      <c r="A219" s="6">
        <v>43427.097592592589</v>
      </c>
      <c r="B219" s="7" t="str">
        <f>HYPERLINK("https://twitter.com/javierjuantur","@javierjuantur")</f>
        <v>@javierjuantur</v>
      </c>
      <c r="C219" s="8" t="s">
        <v>1521</v>
      </c>
      <c r="D219" s="9" t="s">
        <v>1522</v>
      </c>
      <c r="E219" s="10" t="str">
        <f>HYPERLINK("https://twitter.com/javierjuantur/status/1065912979462475776","1065912979462475776")</f>
        <v>1065912979462475776</v>
      </c>
      <c r="F219" s="14" t="s">
        <v>1524</v>
      </c>
      <c r="G219" s="14" t="s">
        <v>1525</v>
      </c>
      <c r="H219" s="11"/>
      <c r="I219" s="12">
        <v>32</v>
      </c>
      <c r="J219" s="12">
        <v>36</v>
      </c>
      <c r="K219" s="13" t="str">
        <f t="shared" si="38"/>
        <v>Twitter Web Client</v>
      </c>
      <c r="L219" s="12">
        <v>61258</v>
      </c>
      <c r="M219" s="12">
        <v>64137</v>
      </c>
      <c r="N219" s="12">
        <v>309</v>
      </c>
      <c r="O219" s="15"/>
      <c r="P219" s="6">
        <v>41420.299872685187</v>
      </c>
      <c r="Q219" s="16" t="s">
        <v>268</v>
      </c>
      <c r="R219" s="17" t="s">
        <v>1527</v>
      </c>
      <c r="S219" s="11"/>
      <c r="T219" s="11"/>
      <c r="U219" s="10" t="str">
        <f>HYPERLINK("https://pbs.twimg.com/profile_images/900746297732366337/YZCIw7G_.jpg","View")</f>
        <v>View</v>
      </c>
    </row>
    <row r="220" spans="1:21" ht="30.6">
      <c r="A220" s="6">
        <v>43427.096226851849</v>
      </c>
      <c r="B220" s="7" t="str">
        <f>HYPERLINK("https://twitter.com/josemanuelferra","@josemanuelferra")</f>
        <v>@josemanuelferra</v>
      </c>
      <c r="C220" s="8" t="s">
        <v>631</v>
      </c>
      <c r="D220" s="9" t="s">
        <v>632</v>
      </c>
      <c r="E220" s="10" t="str">
        <f>HYPERLINK("https://twitter.com/josemanuelferra/status/1065912485008605184","1065912485008605184")</f>
        <v>1065912485008605184</v>
      </c>
      <c r="F220" s="14" t="s">
        <v>634</v>
      </c>
      <c r="G220" s="14" t="s">
        <v>635</v>
      </c>
      <c r="H220" s="11"/>
      <c r="I220" s="12">
        <v>2</v>
      </c>
      <c r="J220" s="12">
        <v>3</v>
      </c>
      <c r="K220" s="13" t="str">
        <f t="shared" si="38"/>
        <v>Twitter Web Client</v>
      </c>
      <c r="L220" s="12">
        <v>5169</v>
      </c>
      <c r="M220" s="12">
        <v>4766</v>
      </c>
      <c r="N220" s="12">
        <v>41</v>
      </c>
      <c r="O220" s="15"/>
      <c r="P220" s="6">
        <v>40714.10119212963</v>
      </c>
      <c r="Q220" s="16" t="s">
        <v>637</v>
      </c>
      <c r="R220" s="17" t="s">
        <v>638</v>
      </c>
      <c r="S220" s="14" t="s">
        <v>639</v>
      </c>
      <c r="T220" s="11"/>
      <c r="U220" s="10" t="str">
        <f>HYPERLINK("https://pbs.twimg.com/profile_images/1060871302498652161/auhatgNP.jpg","View")</f>
        <v>View</v>
      </c>
    </row>
    <row r="221" spans="1:21" ht="40.799999999999997">
      <c r="A221" s="6">
        <v>43427.096134259264</v>
      </c>
      <c r="B221" s="7" t="str">
        <f>HYPERLINK("https://twitter.com/gueguenselibre","@gueguenselibre")</f>
        <v>@gueguenselibre</v>
      </c>
      <c r="C221" s="8" t="s">
        <v>1534</v>
      </c>
      <c r="D221" s="9" t="s">
        <v>1535</v>
      </c>
      <c r="E221" s="10" t="str">
        <f>HYPERLINK("https://twitter.com/gueguenselibre/status/1065912448832741376","1065912448832741376")</f>
        <v>1065912448832741376</v>
      </c>
      <c r="F221" s="14" t="s">
        <v>1538</v>
      </c>
      <c r="G221" s="11"/>
      <c r="H221" s="11"/>
      <c r="I221" s="12">
        <v>0</v>
      </c>
      <c r="J221" s="12">
        <v>0</v>
      </c>
      <c r="K221" s="13" t="str">
        <f t="shared" si="38"/>
        <v>Twitter Web Client</v>
      </c>
      <c r="L221" s="12">
        <v>116</v>
      </c>
      <c r="M221" s="12">
        <v>377</v>
      </c>
      <c r="N221" s="12">
        <v>6</v>
      </c>
      <c r="O221" s="15"/>
      <c r="P221" s="6">
        <v>40310.420335648145</v>
      </c>
      <c r="Q221" s="11"/>
      <c r="R221" s="17" t="s">
        <v>1540</v>
      </c>
      <c r="S221" s="11"/>
      <c r="T221" s="11"/>
      <c r="U221" s="10" t="str">
        <f>HYPERLINK("https://pbs.twimg.com/profile_images/2462462879/0rbg3l6h3bu4e9m8t6vr.jpeg","View")</f>
        <v>View</v>
      </c>
    </row>
    <row r="222" spans="1:21" ht="30.6">
      <c r="A222" s="6">
        <v>43427.095335648148</v>
      </c>
      <c r="B222" s="7" t="str">
        <f>HYPERLINK("https://twitter.com/Charran_Esp","@Charran_Esp")</f>
        <v>@Charran_Esp</v>
      </c>
      <c r="C222" s="8" t="s">
        <v>1544</v>
      </c>
      <c r="D222" s="9" t="s">
        <v>1545</v>
      </c>
      <c r="E222" s="10" t="str">
        <f>HYPERLINK("https://twitter.com/Charran_Esp/status/1065912161548099584","1065912161548099584")</f>
        <v>1065912161548099584</v>
      </c>
      <c r="F222" s="14" t="s">
        <v>647</v>
      </c>
      <c r="G222" s="11"/>
      <c r="H222" s="11"/>
      <c r="I222" s="12">
        <v>0</v>
      </c>
      <c r="J222" s="12">
        <v>0</v>
      </c>
      <c r="K222" s="13" t="str">
        <f>HYPERLINK("https://ifttt.com","IFTTT")</f>
        <v>IFTTT</v>
      </c>
      <c r="L222" s="12">
        <v>59</v>
      </c>
      <c r="M222" s="12">
        <v>71</v>
      </c>
      <c r="N222" s="12">
        <v>0</v>
      </c>
      <c r="O222" s="15"/>
      <c r="P222" s="6">
        <v>42915.076712962968</v>
      </c>
      <c r="Q222" s="16" t="s">
        <v>28</v>
      </c>
      <c r="R222" s="17" t="s">
        <v>1549</v>
      </c>
      <c r="S222" s="11"/>
      <c r="T222" s="11"/>
      <c r="U222" s="10" t="str">
        <f>HYPERLINK("https://pbs.twimg.com/profile_images/880349188244078592/vsdcBU4x.jpg","View")</f>
        <v>View</v>
      </c>
    </row>
    <row r="223" spans="1:21" ht="20.399999999999999">
      <c r="A223" s="6">
        <v>43427.094548611116</v>
      </c>
      <c r="B223" s="7" t="str">
        <f>HYPERLINK("https://twitter.com/MnicaSpringstee","@MnicaSpringstee")</f>
        <v>@MnicaSpringstee</v>
      </c>
      <c r="C223" s="8" t="s">
        <v>1551</v>
      </c>
      <c r="D223" s="9" t="s">
        <v>768</v>
      </c>
      <c r="E223" s="10" t="str">
        <f>HYPERLINK("https://twitter.com/MnicaSpringstee/status/1065911875186163712","1065911875186163712")</f>
        <v>1065911875186163712</v>
      </c>
      <c r="F223" s="14" t="s">
        <v>529</v>
      </c>
      <c r="G223" s="11"/>
      <c r="H223" s="11"/>
      <c r="I223" s="12">
        <v>0</v>
      </c>
      <c r="J223" s="12">
        <v>0</v>
      </c>
      <c r="K223" s="13" t="str">
        <f t="shared" ref="K223:K224" si="39">HYPERLINK("http://twitter.com/download/android","Twitter for Android")</f>
        <v>Twitter for Android</v>
      </c>
      <c r="L223" s="12">
        <v>101</v>
      </c>
      <c r="M223" s="12">
        <v>611</v>
      </c>
      <c r="N223" s="12">
        <v>0</v>
      </c>
      <c r="O223" s="15"/>
      <c r="P223" s="6">
        <v>40715.163668981484</v>
      </c>
      <c r="Q223" s="11"/>
      <c r="R223" s="19"/>
      <c r="S223" s="11"/>
      <c r="T223" s="11"/>
      <c r="U223" s="10" t="str">
        <f>HYPERLINK("https://pbs.twimg.com/profile_images/915773548932853765/bJc4uaXD.jpg","View")</f>
        <v>View</v>
      </c>
    </row>
    <row r="224" spans="1:21" ht="40.799999999999997">
      <c r="A224" s="6">
        <v>43427.094363425931</v>
      </c>
      <c r="B224" s="7" t="str">
        <f>HYPERLINK("https://twitter.com/arufxx","@arufxx")</f>
        <v>@arufxx</v>
      </c>
      <c r="C224" s="8" t="s">
        <v>640</v>
      </c>
      <c r="D224" s="9" t="s">
        <v>641</v>
      </c>
      <c r="E224" s="10" t="str">
        <f>HYPERLINK("https://twitter.com/arufxx/status/1065911806688931840","1065911806688931840")</f>
        <v>1065911806688931840</v>
      </c>
      <c r="F224" s="14" t="s">
        <v>642</v>
      </c>
      <c r="G224" s="11"/>
      <c r="H224" s="11"/>
      <c r="I224" s="12">
        <v>0</v>
      </c>
      <c r="J224" s="12">
        <v>0</v>
      </c>
      <c r="K224" s="13" t="str">
        <f t="shared" si="39"/>
        <v>Twitter for Android</v>
      </c>
      <c r="L224" s="12">
        <v>523</v>
      </c>
      <c r="M224" s="12">
        <v>335</v>
      </c>
      <c r="N224" s="12">
        <v>16</v>
      </c>
      <c r="O224" s="15"/>
      <c r="P224" s="6">
        <v>40130.574791666666</v>
      </c>
      <c r="Q224" s="11"/>
      <c r="R224" s="17" t="s">
        <v>643</v>
      </c>
      <c r="S224" s="11"/>
      <c r="T224" s="11"/>
      <c r="U224" s="10" t="str">
        <f>HYPERLINK("https://pbs.twimg.com/profile_images/580357023595790336/Y53UpL2d.jpg","View")</f>
        <v>View</v>
      </c>
    </row>
    <row r="225" spans="1:21" ht="20.399999999999999">
      <c r="A225" s="6">
        <v>43427.093680555554</v>
      </c>
      <c r="B225" s="7" t="str">
        <f>HYPERLINK("https://twitter.com/jlfcelis","@jlfcelis")</f>
        <v>@jlfcelis</v>
      </c>
      <c r="C225" s="8" t="s">
        <v>1562</v>
      </c>
      <c r="D225" s="9" t="s">
        <v>1564</v>
      </c>
      <c r="E225" s="10" t="str">
        <f>HYPERLINK("https://twitter.com/jlfcelis/status/1065911562781802496","1065911562781802496")</f>
        <v>1065911562781802496</v>
      </c>
      <c r="F225" s="14" t="s">
        <v>1566</v>
      </c>
      <c r="G225" s="11"/>
      <c r="H225" s="11"/>
      <c r="I225" s="12">
        <v>0</v>
      </c>
      <c r="J225" s="12">
        <v>0</v>
      </c>
      <c r="K225" s="13" t="str">
        <f>HYPERLINK("http://www.facebook.com/twitter","Facebook")</f>
        <v>Facebook</v>
      </c>
      <c r="L225" s="12">
        <v>265</v>
      </c>
      <c r="M225" s="12">
        <v>351</v>
      </c>
      <c r="N225" s="12">
        <v>9</v>
      </c>
      <c r="O225" s="15"/>
      <c r="P225" s="6">
        <v>40709.416134259256</v>
      </c>
      <c r="Q225" s="16" t="s">
        <v>1569</v>
      </c>
      <c r="R225" s="19"/>
      <c r="S225" s="11"/>
      <c r="T225" s="11"/>
      <c r="U225" s="10" t="str">
        <f>HYPERLINK("https://pbs.twimg.com/profile_images/786631543162896384/wN_4OsGV.jpg","View")</f>
        <v>View</v>
      </c>
    </row>
    <row r="226" spans="1:21" ht="30.6">
      <c r="A226" s="6">
        <v>43427.093460648146</v>
      </c>
      <c r="B226" s="7" t="str">
        <f>HYPERLINK("https://twitter.com/pradoalberdi","@pradoalberdi")</f>
        <v>@pradoalberdi</v>
      </c>
      <c r="C226" s="8" t="s">
        <v>1572</v>
      </c>
      <c r="D226" s="9" t="s">
        <v>1573</v>
      </c>
      <c r="E226" s="10" t="str">
        <f>HYPERLINK("https://twitter.com/pradoalberdi/status/1065911480397250562","1065911480397250562")</f>
        <v>1065911480397250562</v>
      </c>
      <c r="F226" s="14" t="s">
        <v>1219</v>
      </c>
      <c r="G226" s="11"/>
      <c r="H226" s="11"/>
      <c r="I226" s="12">
        <v>0</v>
      </c>
      <c r="J226" s="12">
        <v>0</v>
      </c>
      <c r="K226" s="13" t="str">
        <f t="shared" ref="K226:K227" si="40">HYPERLINK("http://twitter.com","Twitter Web Client")</f>
        <v>Twitter Web Client</v>
      </c>
      <c r="L226" s="12">
        <v>2749</v>
      </c>
      <c r="M226" s="12">
        <v>2753</v>
      </c>
      <c r="N226" s="12">
        <v>76</v>
      </c>
      <c r="O226" s="15"/>
      <c r="P226" s="6">
        <v>39912.622858796298</v>
      </c>
      <c r="Q226" s="16" t="s">
        <v>1575</v>
      </c>
      <c r="R226" s="17" t="s">
        <v>1576</v>
      </c>
      <c r="S226" s="14" t="s">
        <v>1577</v>
      </c>
      <c r="T226" s="11"/>
      <c r="U226" s="10" t="str">
        <f>HYPERLINK("https://pbs.twimg.com/profile_images/1471182899/ALBERDI_PERFIL.jpg","View")</f>
        <v>View</v>
      </c>
    </row>
    <row r="227" spans="1:21" ht="30.6">
      <c r="A227" s="6">
        <v>43427.092905092592</v>
      </c>
      <c r="B227" s="7" t="str">
        <f>HYPERLINK("https://twitter.com/spastormartinez","@spastormartinez")</f>
        <v>@spastormartinez</v>
      </c>
      <c r="C227" s="8" t="s">
        <v>1578</v>
      </c>
      <c r="D227" s="9" t="s">
        <v>369</v>
      </c>
      <c r="E227" s="10" t="str">
        <f>HYPERLINK("https://twitter.com/spastormartinez/status/1065911280421228544","1065911280421228544")</f>
        <v>1065911280421228544</v>
      </c>
      <c r="F227" s="14" t="s">
        <v>371</v>
      </c>
      <c r="G227" s="11"/>
      <c r="H227" s="11"/>
      <c r="I227" s="12">
        <v>0</v>
      </c>
      <c r="J227" s="12">
        <v>0</v>
      </c>
      <c r="K227" s="13" t="str">
        <f t="shared" si="40"/>
        <v>Twitter Web Client</v>
      </c>
      <c r="L227" s="12">
        <v>3198</v>
      </c>
      <c r="M227" s="12">
        <v>2803</v>
      </c>
      <c r="N227" s="12">
        <v>22</v>
      </c>
      <c r="O227" s="15"/>
      <c r="P227" s="6">
        <v>41408.449097222227</v>
      </c>
      <c r="Q227" s="16" t="s">
        <v>1583</v>
      </c>
      <c r="R227" s="17" t="s">
        <v>1585</v>
      </c>
      <c r="S227" s="11"/>
      <c r="T227" s="11"/>
      <c r="U227" s="10" t="str">
        <f>HYPERLINK("https://pbs.twimg.com/profile_images/519233687859122176/yPsHPdHV.jpeg","View")</f>
        <v>View</v>
      </c>
    </row>
    <row r="228" spans="1:21" ht="40.799999999999997">
      <c r="A228" s="6">
        <v>43427.092847222222</v>
      </c>
      <c r="B228" s="7" t="str">
        <f>HYPERLINK("https://twitter.com/elmundoes","@elmundoes")</f>
        <v>@elmundoes</v>
      </c>
      <c r="C228" s="8" t="s">
        <v>1587</v>
      </c>
      <c r="D228" s="9" t="s">
        <v>1588</v>
      </c>
      <c r="E228" s="10" t="str">
        <f>HYPERLINK("https://twitter.com/elmundoes/status/1065911258736746498","1065911258736746498")</f>
        <v>1065911258736746498</v>
      </c>
      <c r="F228" s="14" t="s">
        <v>544</v>
      </c>
      <c r="G228" s="11"/>
      <c r="H228" s="11"/>
      <c r="I228" s="12">
        <v>21</v>
      </c>
      <c r="J228" s="12">
        <v>16</v>
      </c>
      <c r="K228" s="13" t="str">
        <f>HYPERLINK("http://www.socialflow.com","SocialFlow")</f>
        <v>SocialFlow</v>
      </c>
      <c r="L228" s="12">
        <v>3190367</v>
      </c>
      <c r="M228" s="12">
        <v>1355</v>
      </c>
      <c r="N228" s="12">
        <v>29571</v>
      </c>
      <c r="O228" s="18" t="s">
        <v>52</v>
      </c>
      <c r="P228" s="6">
        <v>39556.478761574072</v>
      </c>
      <c r="Q228" s="16" t="s">
        <v>28</v>
      </c>
      <c r="R228" s="17" t="s">
        <v>1590</v>
      </c>
      <c r="S228" s="14" t="s">
        <v>1591</v>
      </c>
      <c r="T228" s="11"/>
      <c r="U228" s="10" t="str">
        <f>HYPERLINK("https://pbs.twimg.com/profile_images/959947259780747265/ez18J78k.jpg","View")</f>
        <v>View</v>
      </c>
    </row>
    <row r="229" spans="1:21" ht="40.799999999999997">
      <c r="A229" s="6">
        <v>43427.092604166668</v>
      </c>
      <c r="B229" s="7" t="str">
        <f>HYPERLINK("https://twitter.com/TeresaN511","@TeresaN511")</f>
        <v>@TeresaN511</v>
      </c>
      <c r="C229" s="8" t="s">
        <v>548</v>
      </c>
      <c r="D229" s="9" t="s">
        <v>1592</v>
      </c>
      <c r="E229" s="10" t="str">
        <f>HYPERLINK("https://twitter.com/TeresaN511/status/1065911170199183361","1065911170199183361")</f>
        <v>1065911170199183361</v>
      </c>
      <c r="F229" s="14" t="s">
        <v>666</v>
      </c>
      <c r="G229" s="14" t="s">
        <v>667</v>
      </c>
      <c r="H229" s="11"/>
      <c r="I229" s="12">
        <v>0</v>
      </c>
      <c r="J229" s="12">
        <v>0</v>
      </c>
      <c r="K229" s="13" t="str">
        <f>HYPERLINK("https://ifttt.com","IFTTT")</f>
        <v>IFTTT</v>
      </c>
      <c r="L229" s="12">
        <v>22</v>
      </c>
      <c r="M229" s="12">
        <v>13</v>
      </c>
      <c r="N229" s="12">
        <v>2</v>
      </c>
      <c r="O229" s="15"/>
      <c r="P229" s="6">
        <v>42736.200069444443</v>
      </c>
      <c r="Q229" s="11"/>
      <c r="R229" s="17" t="s">
        <v>554</v>
      </c>
      <c r="S229" s="11"/>
      <c r="T229" s="11"/>
      <c r="U229" s="10" t="str">
        <f>HYPERLINK("https://pbs.twimg.com/profile_images/819116744342114304/ytQFaOmN.jpg","View")</f>
        <v>View</v>
      </c>
    </row>
    <row r="230" spans="1:21" ht="40.799999999999997">
      <c r="A230" s="6">
        <v>43427.092372685191</v>
      </c>
      <c r="B230" s="7" t="str">
        <f>HYPERLINK("https://twitter.com/ESdiario_com","@ESdiario_com")</f>
        <v>@ESdiario_com</v>
      </c>
      <c r="C230" s="8" t="s">
        <v>645</v>
      </c>
      <c r="D230" s="9" t="s">
        <v>646</v>
      </c>
      <c r="E230" s="10" t="str">
        <f>HYPERLINK("https://twitter.com/ESdiario_com/status/1065911087760060418","1065911087760060418")</f>
        <v>1065911087760060418</v>
      </c>
      <c r="F230" s="14" t="s">
        <v>647</v>
      </c>
      <c r="G230" s="11"/>
      <c r="H230" s="11"/>
      <c r="I230" s="12">
        <v>2</v>
      </c>
      <c r="J230" s="12">
        <v>5</v>
      </c>
      <c r="K230" s="13" t="str">
        <f>HYPERLINK("http://twitter.com/download/android","Twitter for Android")</f>
        <v>Twitter for Android</v>
      </c>
      <c r="L230" s="12">
        <v>30818</v>
      </c>
      <c r="M230" s="12">
        <v>706</v>
      </c>
      <c r="N230" s="12">
        <v>494</v>
      </c>
      <c r="O230" s="15"/>
      <c r="P230" s="6">
        <v>40584.125949074078</v>
      </c>
      <c r="Q230" s="16" t="s">
        <v>93</v>
      </c>
      <c r="R230" s="17" t="s">
        <v>648</v>
      </c>
      <c r="S230" s="14" t="s">
        <v>649</v>
      </c>
      <c r="T230" s="11"/>
      <c r="U230" s="10" t="str">
        <f>HYPERLINK("https://pbs.twimg.com/profile_images/708363281308753920/7qh3akOb.jpg","View")</f>
        <v>View</v>
      </c>
    </row>
    <row r="231" spans="1:21" ht="61.2">
      <c r="A231" s="6">
        <v>43427.091585648144</v>
      </c>
      <c r="B231" s="7" t="str">
        <f>HYPERLINK("https://twitter.com/ASRphotographer","@ASRphotographer")</f>
        <v>@ASRphotographer</v>
      </c>
      <c r="C231" s="8" t="s">
        <v>651</v>
      </c>
      <c r="D231" s="9" t="s">
        <v>653</v>
      </c>
      <c r="E231" s="10" t="str">
        <f>HYPERLINK("https://twitter.com/ASRphotographer/status/1065910801570119680","1065910801570119680")</f>
        <v>1065910801570119680</v>
      </c>
      <c r="F231" s="16" t="s">
        <v>654</v>
      </c>
      <c r="G231" s="11"/>
      <c r="H231" s="11"/>
      <c r="I231" s="12">
        <v>0</v>
      </c>
      <c r="J231" s="12">
        <v>0</v>
      </c>
      <c r="K231" s="13" t="str">
        <f>HYPERLINK("http://twitter.com/download/iphone","Twitter for iPhone")</f>
        <v>Twitter for iPhone</v>
      </c>
      <c r="L231" s="12">
        <v>932</v>
      </c>
      <c r="M231" s="12">
        <v>460</v>
      </c>
      <c r="N231" s="12">
        <v>27</v>
      </c>
      <c r="O231" s="15"/>
      <c r="P231" s="6">
        <v>40831.508402777778</v>
      </c>
      <c r="Q231" s="16" t="s">
        <v>38</v>
      </c>
      <c r="R231" s="17" t="s">
        <v>655</v>
      </c>
      <c r="S231" s="11"/>
      <c r="T231" s="11"/>
      <c r="U231" s="10" t="str">
        <f>HYPERLINK("https://pbs.twimg.com/profile_images/1053303274894430208/EEEfljQI.jpg","View")</f>
        <v>View</v>
      </c>
    </row>
    <row r="232" spans="1:21" ht="40.799999999999997">
      <c r="A232" s="6">
        <v>43427.091053240743</v>
      </c>
      <c r="B232" s="7" t="str">
        <f>HYPERLINK("https://twitter.com/Percevalles","@Percevalles")</f>
        <v>@Percevalles</v>
      </c>
      <c r="C232" s="8" t="s">
        <v>1603</v>
      </c>
      <c r="D232" s="9" t="s">
        <v>768</v>
      </c>
      <c r="E232" s="10" t="str">
        <f>HYPERLINK("https://twitter.com/Percevalles/status/1065910608736997377","1065910608736997377")</f>
        <v>1065910608736997377</v>
      </c>
      <c r="F232" s="14" t="s">
        <v>529</v>
      </c>
      <c r="G232" s="11"/>
      <c r="H232" s="11"/>
      <c r="I232" s="12">
        <v>0</v>
      </c>
      <c r="J232" s="12">
        <v>0</v>
      </c>
      <c r="K232" s="13" t="str">
        <f t="shared" ref="K232:K233" si="41">HYPERLINK("http://twitter.com/download/android","Twitter for Android")</f>
        <v>Twitter for Android</v>
      </c>
      <c r="L232" s="12">
        <v>416</v>
      </c>
      <c r="M232" s="12">
        <v>1047</v>
      </c>
      <c r="N232" s="12">
        <v>4</v>
      </c>
      <c r="O232" s="15"/>
      <c r="P232" s="6">
        <v>40960.294988425929</v>
      </c>
      <c r="Q232" s="16" t="s">
        <v>1607</v>
      </c>
      <c r="R232" s="17" t="s">
        <v>1609</v>
      </c>
      <c r="S232" s="14" t="s">
        <v>1610</v>
      </c>
      <c r="T232" s="11"/>
      <c r="U232" s="10" t="str">
        <f>HYPERLINK("https://pbs.twimg.com/profile_images/900343916033167361/W54StjSH.jpg","View")</f>
        <v>View</v>
      </c>
    </row>
    <row r="233" spans="1:21" ht="61.2">
      <c r="A233" s="6">
        <v>43427.090694444443</v>
      </c>
      <c r="B233" s="7" t="str">
        <f>HYPERLINK("https://twitter.com/dasriasbaixas","@dasriasbaixas")</f>
        <v>@dasriasbaixas</v>
      </c>
      <c r="C233" s="8" t="s">
        <v>656</v>
      </c>
      <c r="D233" s="9" t="s">
        <v>657</v>
      </c>
      <c r="E233" s="10" t="str">
        <f>HYPERLINK("https://twitter.com/dasriasbaixas/status/1065910477623037953","1065910477623037953")</f>
        <v>1065910477623037953</v>
      </c>
      <c r="F233" s="14" t="s">
        <v>658</v>
      </c>
      <c r="G233" s="14" t="s">
        <v>659</v>
      </c>
      <c r="H233" s="11"/>
      <c r="I233" s="12">
        <v>0</v>
      </c>
      <c r="J233" s="12">
        <v>0</v>
      </c>
      <c r="K233" s="13" t="str">
        <f t="shared" si="41"/>
        <v>Twitter for Android</v>
      </c>
      <c r="L233" s="12">
        <v>299</v>
      </c>
      <c r="M233" s="12">
        <v>370</v>
      </c>
      <c r="N233" s="12">
        <v>0</v>
      </c>
      <c r="O233" s="15"/>
      <c r="P233" s="6">
        <v>42860.863344907411</v>
      </c>
      <c r="Q233" s="16" t="s">
        <v>28</v>
      </c>
      <c r="R233" s="17" t="s">
        <v>660</v>
      </c>
      <c r="S233" s="11"/>
      <c r="T233" s="11"/>
      <c r="U233" s="10" t="str">
        <f>HYPERLINK("https://pbs.twimg.com/profile_images/1033863578661601286/qNErK7Zu.jpg","View")</f>
        <v>View</v>
      </c>
    </row>
    <row r="234" spans="1:21" ht="40.799999999999997">
      <c r="A234" s="6">
        <v>43427.090567129635</v>
      </c>
      <c r="B234" s="7" t="str">
        <f>HYPERLINK("https://twitter.com/rodriguezBego","@rodriguezBego")</f>
        <v>@rodriguezBego</v>
      </c>
      <c r="C234" s="8" t="s">
        <v>1615</v>
      </c>
      <c r="D234" s="9" t="s">
        <v>1573</v>
      </c>
      <c r="E234" s="10" t="str">
        <f>HYPERLINK("https://twitter.com/rodriguezBego/status/1065910431368298497","1065910431368298497")</f>
        <v>1065910431368298497</v>
      </c>
      <c r="F234" s="14" t="s">
        <v>1316</v>
      </c>
      <c r="G234" s="11"/>
      <c r="H234" s="11"/>
      <c r="I234" s="12">
        <v>0</v>
      </c>
      <c r="J234" s="12">
        <v>0</v>
      </c>
      <c r="K234" s="13" t="str">
        <f t="shared" ref="K234:K235" si="42">HYPERLINK("http://twitter.com","Twitter Web Client")</f>
        <v>Twitter Web Client</v>
      </c>
      <c r="L234" s="12">
        <v>48</v>
      </c>
      <c r="M234" s="12">
        <v>119</v>
      </c>
      <c r="N234" s="12">
        <v>5</v>
      </c>
      <c r="O234" s="15"/>
      <c r="P234" s="6">
        <v>40754.100347222222</v>
      </c>
      <c r="Q234" s="16" t="s">
        <v>1618</v>
      </c>
      <c r="R234" s="17" t="s">
        <v>1619</v>
      </c>
      <c r="S234" s="11"/>
      <c r="T234" s="11"/>
      <c r="U234" s="10" t="str">
        <f>HYPERLINK("https://pbs.twimg.com/profile_images/1059124497234706447/9d18c2RW.jpg","View")</f>
        <v>View</v>
      </c>
    </row>
    <row r="235" spans="1:21" ht="13.2">
      <c r="A235" s="6">
        <v>43427.090370370366</v>
      </c>
      <c r="B235" s="7" t="str">
        <f>HYPERLINK("https://twitter.com/JakeS_ully","@JakeS_ully")</f>
        <v>@JakeS_ully</v>
      </c>
      <c r="C235" s="8" t="s">
        <v>661</v>
      </c>
      <c r="D235" s="9" t="s">
        <v>662</v>
      </c>
      <c r="E235" s="10" t="str">
        <f>HYPERLINK("https://twitter.com/JakeS_ully/status/1065910360589381633","1065910360589381633")</f>
        <v>1065910360589381633</v>
      </c>
      <c r="F235" s="14" t="s">
        <v>663</v>
      </c>
      <c r="G235" s="11"/>
      <c r="H235" s="11"/>
      <c r="I235" s="12">
        <v>0</v>
      </c>
      <c r="J235" s="12">
        <v>0</v>
      </c>
      <c r="K235" s="13" t="str">
        <f t="shared" si="42"/>
        <v>Twitter Web Client</v>
      </c>
      <c r="L235" s="12">
        <v>21</v>
      </c>
      <c r="M235" s="12">
        <v>153</v>
      </c>
      <c r="N235" s="12">
        <v>0</v>
      </c>
      <c r="O235" s="15"/>
      <c r="P235" s="6">
        <v>42087.040937500002</v>
      </c>
      <c r="Q235" s="11"/>
      <c r="R235" s="19"/>
      <c r="S235" s="11"/>
      <c r="T235" s="11"/>
      <c r="U235" s="10" t="str">
        <f>HYPERLINK("https://pbs.twimg.com/profile_images/983609829267853312/9W_1NWQn.jpg","View")</f>
        <v>View</v>
      </c>
    </row>
    <row r="236" spans="1:21" ht="40.799999999999997">
      <c r="A236" s="6">
        <v>43427.09003472222</v>
      </c>
      <c r="B236" s="7" t="str">
        <f>HYPERLINK("https://twitter.com/DebatAlRojoVivo","@DebatAlRojoVivo")</f>
        <v>@DebatAlRojoVivo</v>
      </c>
      <c r="C236" s="8" t="s">
        <v>563</v>
      </c>
      <c r="D236" s="9" t="s">
        <v>664</v>
      </c>
      <c r="E236" s="10" t="str">
        <f>HYPERLINK("https://twitter.com/DebatAlRojoVivo/status/1065910238044463104","1065910238044463104")</f>
        <v>1065910238044463104</v>
      </c>
      <c r="F236" s="14" t="s">
        <v>666</v>
      </c>
      <c r="G236" s="14" t="s">
        <v>667</v>
      </c>
      <c r="H236" s="11"/>
      <c r="I236" s="12">
        <v>8</v>
      </c>
      <c r="J236" s="12">
        <v>12</v>
      </c>
      <c r="K236" s="13" t="str">
        <f>HYPERLINK("http://dogtrack.es","DogTrack_Oficial")</f>
        <v>DogTrack_Oficial</v>
      </c>
      <c r="L236" s="12">
        <v>484474</v>
      </c>
      <c r="M236" s="12">
        <v>279</v>
      </c>
      <c r="N236" s="12">
        <v>2909</v>
      </c>
      <c r="O236" s="18" t="s">
        <v>52</v>
      </c>
      <c r="P236" s="6">
        <v>40555.49763888889</v>
      </c>
      <c r="Q236" s="11"/>
      <c r="R236" s="17" t="s">
        <v>567</v>
      </c>
      <c r="S236" s="14" t="s">
        <v>568</v>
      </c>
      <c r="T236" s="11"/>
      <c r="U236" s="10" t="str">
        <f>HYPERLINK("https://pbs.twimg.com/profile_images/1063014308857237504/GEyVz5-l.jpg","View")</f>
        <v>View</v>
      </c>
    </row>
    <row r="237" spans="1:21" ht="51">
      <c r="A237" s="6">
        <v>43427.088796296295</v>
      </c>
      <c r="B237" s="7" t="str">
        <f>HYPERLINK("https://twitter.com/gueguenselibre","@gueguenselibre")</f>
        <v>@gueguenselibre</v>
      </c>
      <c r="C237" s="8" t="s">
        <v>1534</v>
      </c>
      <c r="D237" s="9" t="s">
        <v>1632</v>
      </c>
      <c r="E237" s="10" t="str">
        <f>HYPERLINK("https://twitter.com/gueguenselibre/status/1065909790839357441","1065909790839357441")</f>
        <v>1065909790839357441</v>
      </c>
      <c r="F237" s="14" t="s">
        <v>1633</v>
      </c>
      <c r="G237" s="11"/>
      <c r="H237" s="11"/>
      <c r="I237" s="12">
        <v>0</v>
      </c>
      <c r="J237" s="12">
        <v>0</v>
      </c>
      <c r="K237" s="13" t="str">
        <f>HYPERLINK("http://twitter.com","Twitter Web Client")</f>
        <v>Twitter Web Client</v>
      </c>
      <c r="L237" s="12">
        <v>116</v>
      </c>
      <c r="M237" s="12">
        <v>377</v>
      </c>
      <c r="N237" s="12">
        <v>6</v>
      </c>
      <c r="O237" s="15"/>
      <c r="P237" s="6">
        <v>40310.420335648145</v>
      </c>
      <c r="Q237" s="11"/>
      <c r="R237" s="17" t="s">
        <v>1540</v>
      </c>
      <c r="S237" s="11"/>
      <c r="T237" s="11"/>
      <c r="U237" s="10" t="str">
        <f>HYPERLINK("https://pbs.twimg.com/profile_images/2462462879/0rbg3l6h3bu4e9m8t6vr.jpeg","View")</f>
        <v>View</v>
      </c>
    </row>
    <row r="238" spans="1:21" ht="30.6">
      <c r="A238" s="6">
        <v>43427.088229166664</v>
      </c>
      <c r="B238" s="7" t="str">
        <f>HYPERLINK("https://twitter.com/maribelmorte","@maribelmorte")</f>
        <v>@maribelmorte</v>
      </c>
      <c r="C238" s="8" t="s">
        <v>670</v>
      </c>
      <c r="D238" s="9" t="s">
        <v>671</v>
      </c>
      <c r="E238" s="10" t="str">
        <f>HYPERLINK("https://twitter.com/maribelmorte/status/1065909585956012032","1065909585956012032")</f>
        <v>1065909585956012032</v>
      </c>
      <c r="F238" s="14" t="s">
        <v>289</v>
      </c>
      <c r="G238" s="11"/>
      <c r="H238" s="11"/>
      <c r="I238" s="12">
        <v>0</v>
      </c>
      <c r="J238" s="12">
        <v>0</v>
      </c>
      <c r="K238" s="13" t="str">
        <f>HYPERLINK("http://twitter.com/download/iphone","Twitter for iPhone")</f>
        <v>Twitter for iPhone</v>
      </c>
      <c r="L238" s="12">
        <v>563</v>
      </c>
      <c r="M238" s="12">
        <v>863</v>
      </c>
      <c r="N238" s="12">
        <v>9</v>
      </c>
      <c r="O238" s="15"/>
      <c r="P238" s="6">
        <v>40682.384699074071</v>
      </c>
      <c r="Q238" s="16" t="s">
        <v>38</v>
      </c>
      <c r="R238" s="17" t="s">
        <v>676</v>
      </c>
      <c r="S238" s="11"/>
      <c r="T238" s="11"/>
      <c r="U238" s="10" t="str">
        <f>HYPERLINK("https://pbs.twimg.com/profile_images/776531633352695808/8HQ-GiA_.jpg","View")</f>
        <v>View</v>
      </c>
    </row>
    <row r="239" spans="1:21" ht="40.799999999999997">
      <c r="A239" s="6">
        <v>43427.087916666671</v>
      </c>
      <c r="B239" s="7" t="str">
        <f>HYPERLINK("https://twitter.com/Pablo_Iglesias_","@Pablo_Iglesias_")</f>
        <v>@Pablo_Iglesias_</v>
      </c>
      <c r="C239" s="8" t="s">
        <v>383</v>
      </c>
      <c r="D239" s="9" t="s">
        <v>1636</v>
      </c>
      <c r="E239" s="10" t="str">
        <f>HYPERLINK("https://twitter.com/Pablo_Iglesias_/status/1065909474358108160","1065909474358108160")</f>
        <v>1065909474358108160</v>
      </c>
      <c r="F239" s="11"/>
      <c r="G239" s="14" t="s">
        <v>1637</v>
      </c>
      <c r="H239" s="11"/>
      <c r="I239" s="12">
        <v>272</v>
      </c>
      <c r="J239" s="12">
        <v>439</v>
      </c>
      <c r="K239" s="13" t="str">
        <f>HYPERLINK("https://studio.twitter.com","Media Studio")</f>
        <v>Media Studio</v>
      </c>
      <c r="L239" s="12">
        <v>2240182</v>
      </c>
      <c r="M239" s="12">
        <v>2735</v>
      </c>
      <c r="N239" s="12">
        <v>8469</v>
      </c>
      <c r="O239" s="18" t="s">
        <v>52</v>
      </c>
      <c r="P239" s="6">
        <v>40351.200300925928</v>
      </c>
      <c r="Q239" s="16" t="s">
        <v>38</v>
      </c>
      <c r="R239" s="17" t="s">
        <v>389</v>
      </c>
      <c r="S239" s="14" t="s">
        <v>58</v>
      </c>
      <c r="T239" s="11"/>
      <c r="U239" s="10" t="str">
        <f>HYPERLINK("https://pbs.twimg.com/profile_images/902223370569338884/dL2D2A5P.jpg","View")</f>
        <v>View</v>
      </c>
    </row>
    <row r="240" spans="1:21" ht="51">
      <c r="A240" s="6">
        <v>43427.087685185186</v>
      </c>
      <c r="B240" s="7" t="str">
        <f>HYPERLINK("https://twitter.com/juanmalpr","@juanmalpr")</f>
        <v>@juanmalpr</v>
      </c>
      <c r="C240" s="8" t="s">
        <v>1640</v>
      </c>
      <c r="D240" s="9" t="s">
        <v>1641</v>
      </c>
      <c r="E240" s="10" t="str">
        <f>HYPERLINK("https://twitter.com/juanmalpr/status/1065909390128091137","1065909390128091137")</f>
        <v>1065909390128091137</v>
      </c>
      <c r="F240" s="11"/>
      <c r="G240" s="14" t="s">
        <v>1642</v>
      </c>
      <c r="H240" s="11"/>
      <c r="I240" s="12">
        <v>8</v>
      </c>
      <c r="J240" s="12">
        <v>22</v>
      </c>
      <c r="K240" s="13" t="str">
        <f>HYPERLINK("http://twitter.com","Twitter Web Client")</f>
        <v>Twitter Web Client</v>
      </c>
      <c r="L240" s="12">
        <v>11748</v>
      </c>
      <c r="M240" s="12">
        <v>618</v>
      </c>
      <c r="N240" s="12">
        <v>205</v>
      </c>
      <c r="O240" s="18" t="s">
        <v>52</v>
      </c>
      <c r="P240" s="6">
        <v>39828.192499999997</v>
      </c>
      <c r="Q240" s="11"/>
      <c r="R240" s="17" t="s">
        <v>1643</v>
      </c>
      <c r="S240" s="14" t="s">
        <v>1644</v>
      </c>
      <c r="T240" s="11"/>
      <c r="U240" s="10" t="str">
        <f>HYPERLINK("https://pbs.twimg.com/profile_images/1055955191512686593/B9gx6AH6.jpg","View")</f>
        <v>View</v>
      </c>
    </row>
    <row r="241" spans="1:21" ht="40.799999999999997">
      <c r="A241" s="6">
        <v>43427.085648148146</v>
      </c>
      <c r="B241" s="7" t="str">
        <f>HYPERLINK("https://twitter.com/Clara_Merin","@Clara_Merin")</f>
        <v>@Clara_Merin</v>
      </c>
      <c r="C241" s="8" t="s">
        <v>677</v>
      </c>
      <c r="D241" s="9" t="s">
        <v>678</v>
      </c>
      <c r="E241" s="10" t="str">
        <f>HYPERLINK("https://twitter.com/Clara_Merin/status/1065908650961772544","1065908650961772544")</f>
        <v>1065908650961772544</v>
      </c>
      <c r="F241" s="14" t="s">
        <v>96</v>
      </c>
      <c r="G241" s="11"/>
      <c r="H241" s="11"/>
      <c r="I241" s="12">
        <v>0</v>
      </c>
      <c r="J241" s="12">
        <v>0</v>
      </c>
      <c r="K241" s="13" t="str">
        <f>HYPERLINK("http://twitter.com/download/android","Twitter for Android")</f>
        <v>Twitter for Android</v>
      </c>
      <c r="L241" s="12">
        <v>2709</v>
      </c>
      <c r="M241" s="12">
        <v>3166</v>
      </c>
      <c r="N241" s="12">
        <v>287</v>
      </c>
      <c r="O241" s="15"/>
      <c r="P241" s="6">
        <v>40860.219444444447</v>
      </c>
      <c r="Q241" s="16" t="s">
        <v>38</v>
      </c>
      <c r="R241" s="17" t="s">
        <v>679</v>
      </c>
      <c r="S241" s="14" t="s">
        <v>680</v>
      </c>
      <c r="T241" s="11"/>
      <c r="U241" s="10" t="str">
        <f>HYPERLINK("https://pbs.twimg.com/profile_images/975743979965878274/4R2sK2lq.jpg","View")</f>
        <v>View</v>
      </c>
    </row>
    <row r="242" spans="1:21" ht="51">
      <c r="A242" s="6">
        <v>43427.083657407406</v>
      </c>
      <c r="B242" s="7" t="str">
        <f>HYPERLINK("https://twitter.com/AhoraCantabria","@AhoraCantabria")</f>
        <v>@AhoraCantabria</v>
      </c>
      <c r="C242" s="8" t="s">
        <v>564</v>
      </c>
      <c r="D242" s="9" t="s">
        <v>1647</v>
      </c>
      <c r="E242" s="10" t="str">
        <f>HYPERLINK("https://twitter.com/AhoraCantabria/status/1065907929763721216","1065907929763721216")</f>
        <v>1065907929763721216</v>
      </c>
      <c r="F242" s="11"/>
      <c r="G242" s="14" t="s">
        <v>1648</v>
      </c>
      <c r="H242" s="11"/>
      <c r="I242" s="12">
        <v>0</v>
      </c>
      <c r="J242" s="12">
        <v>0</v>
      </c>
      <c r="K242" s="13" t="str">
        <f>HYPERLINK("https://buffer.com","Buffer")</f>
        <v>Buffer</v>
      </c>
      <c r="L242" s="12">
        <v>8579</v>
      </c>
      <c r="M242" s="12">
        <v>1430</v>
      </c>
      <c r="N242" s="12">
        <v>135</v>
      </c>
      <c r="O242" s="15"/>
      <c r="P242" s="6">
        <v>41200.454687500001</v>
      </c>
      <c r="Q242" s="16" t="s">
        <v>569</v>
      </c>
      <c r="R242" s="17" t="s">
        <v>570</v>
      </c>
      <c r="S242" s="14" t="s">
        <v>571</v>
      </c>
      <c r="T242" s="11"/>
      <c r="U242" s="10" t="str">
        <f>HYPERLINK("https://pbs.twimg.com/profile_images/978940959617617922/UqYGk2Wc.jpg","View")</f>
        <v>View</v>
      </c>
    </row>
    <row r="243" spans="1:21" ht="51">
      <c r="A243" s="6">
        <v>43427.083333333328</v>
      </c>
      <c r="B243" s="7" t="str">
        <f>HYPERLINK("https://twitter.com/PoliciaLocalSF","@PoliciaLocalSF")</f>
        <v>@PoliciaLocalSF</v>
      </c>
      <c r="C243" s="8" t="s">
        <v>1651</v>
      </c>
      <c r="D243" s="9" t="s">
        <v>1652</v>
      </c>
      <c r="E243" s="10" t="str">
        <f>HYPERLINK("https://twitter.com/PoliciaLocalSF/status/1065907813019541504","1065907813019541504")</f>
        <v>1065907813019541504</v>
      </c>
      <c r="F243" s="11"/>
      <c r="G243" s="14" t="s">
        <v>1653</v>
      </c>
      <c r="H243" s="11"/>
      <c r="I243" s="12">
        <v>0</v>
      </c>
      <c r="J243" s="12">
        <v>0</v>
      </c>
      <c r="K243" s="13" t="str">
        <f>HYPERLINK("https://about.twitter.com/products/tweetdeck","TweetDeck")</f>
        <v>TweetDeck</v>
      </c>
      <c r="L243" s="12">
        <v>465</v>
      </c>
      <c r="M243" s="12">
        <v>48</v>
      </c>
      <c r="N243" s="12">
        <v>4</v>
      </c>
      <c r="O243" s="15"/>
      <c r="P243" s="6">
        <v>41886.323252314818</v>
      </c>
      <c r="Q243" s="16" t="s">
        <v>1654</v>
      </c>
      <c r="R243" s="17" t="s">
        <v>1655</v>
      </c>
      <c r="S243" s="14" t="s">
        <v>1656</v>
      </c>
      <c r="T243" s="11"/>
      <c r="U243" s="10" t="str">
        <f>HYPERLINK("https://pbs.twimg.com/profile_images/1052682238545063937/fGR_DOQp.jpg","View")</f>
        <v>View</v>
      </c>
    </row>
    <row r="244" spans="1:21" ht="40.799999999999997">
      <c r="A244" s="6">
        <v>43427.079560185186</v>
      </c>
      <c r="B244" s="7" t="str">
        <f>HYPERLINK("https://twitter.com/UGT_Comunica","@UGT_Comunica")</f>
        <v>@UGT_Comunica</v>
      </c>
      <c r="C244" s="8" t="s">
        <v>1657</v>
      </c>
      <c r="D244" s="9" t="s">
        <v>1658</v>
      </c>
      <c r="E244" s="10" t="str">
        <f>HYPERLINK("https://twitter.com/UGT_Comunica/status/1065906443243716608","1065906443243716608")</f>
        <v>1065906443243716608</v>
      </c>
      <c r="F244" s="14" t="s">
        <v>1566</v>
      </c>
      <c r="G244" s="11"/>
      <c r="H244" s="11"/>
      <c r="I244" s="12">
        <v>8</v>
      </c>
      <c r="J244" s="12">
        <v>9</v>
      </c>
      <c r="K244" s="13" t="str">
        <f>HYPERLINK("http://twitter.com","Twitter Web Client")</f>
        <v>Twitter Web Client</v>
      </c>
      <c r="L244" s="12">
        <v>35910</v>
      </c>
      <c r="M244" s="12">
        <v>10145</v>
      </c>
      <c r="N244" s="12">
        <v>805</v>
      </c>
      <c r="O244" s="18" t="s">
        <v>52</v>
      </c>
      <c r="P244" s="6">
        <v>40116.518564814818</v>
      </c>
      <c r="Q244" s="16" t="s">
        <v>28</v>
      </c>
      <c r="R244" s="17" t="s">
        <v>1661</v>
      </c>
      <c r="S244" s="14" t="s">
        <v>1662</v>
      </c>
      <c r="T244" s="11"/>
      <c r="U244" s="10" t="str">
        <f>HYPERLINK("https://pbs.twimg.com/profile_images/1040496860568449024/rgUg5HJ1.jpg","View")</f>
        <v>View</v>
      </c>
    </row>
    <row r="245" spans="1:21" ht="13.2">
      <c r="A245" s="6">
        <v>43427.078472222223</v>
      </c>
      <c r="B245" s="7" t="str">
        <f>HYPERLINK("https://twitter.com/LUKMANSEA","@LUKMANSEA")</f>
        <v>@LUKMANSEA</v>
      </c>
      <c r="C245" s="8" t="s">
        <v>1665</v>
      </c>
      <c r="D245" s="9" t="s">
        <v>1666</v>
      </c>
      <c r="E245" s="10" t="str">
        <f>HYPERLINK("https://twitter.com/LUKMANSEA/status/1065906050321342464","1065906050321342464")</f>
        <v>1065906050321342464</v>
      </c>
      <c r="F245" s="14" t="s">
        <v>1671</v>
      </c>
      <c r="G245" s="11"/>
      <c r="H245" s="11"/>
      <c r="I245" s="12">
        <v>0</v>
      </c>
      <c r="J245" s="12">
        <v>0</v>
      </c>
      <c r="K245" s="13" t="str">
        <f>HYPERLINK("http://www.facebook.com/twitter","Facebook")</f>
        <v>Facebook</v>
      </c>
      <c r="L245" s="12">
        <v>119</v>
      </c>
      <c r="M245" s="12">
        <v>116</v>
      </c>
      <c r="N245" s="12">
        <v>3</v>
      </c>
      <c r="O245" s="15"/>
      <c r="P245" s="6">
        <v>41395.591435185182</v>
      </c>
      <c r="Q245" s="16" t="s">
        <v>1674</v>
      </c>
      <c r="R245" s="17" t="s">
        <v>1675</v>
      </c>
      <c r="S245" s="14" t="s">
        <v>1676</v>
      </c>
      <c r="T245" s="11"/>
      <c r="U245" s="10" t="str">
        <f>HYPERLINK("https://pbs.twimg.com/profile_images/3602415491/e9e5856c3e946b359592fb868e571d64.jpeg","View")</f>
        <v>View</v>
      </c>
    </row>
    <row r="246" spans="1:21" ht="13.2">
      <c r="A246" s="6">
        <v>43427.078240740739</v>
      </c>
      <c r="B246" s="7" t="str">
        <f>HYPERLINK("https://twitter.com/anirubio","@anirubio")</f>
        <v>@anirubio</v>
      </c>
      <c r="C246" s="8" t="s">
        <v>681</v>
      </c>
      <c r="D246" s="9" t="s">
        <v>682</v>
      </c>
      <c r="E246" s="10" t="str">
        <f>HYPERLINK("https://twitter.com/anirubio/status/1065905964191268864","1065905964191268864")</f>
        <v>1065905964191268864</v>
      </c>
      <c r="F246" s="14" t="s">
        <v>683</v>
      </c>
      <c r="G246" s="11"/>
      <c r="H246" s="11"/>
      <c r="I246" s="12">
        <v>1</v>
      </c>
      <c r="J246" s="12">
        <v>0</v>
      </c>
      <c r="K246" s="13" t="str">
        <f t="shared" ref="K246:K248" si="43">HYPERLINK("http://twitter.com","Twitter Web Client")</f>
        <v>Twitter Web Client</v>
      </c>
      <c r="L246" s="12">
        <v>1390</v>
      </c>
      <c r="M246" s="12">
        <v>4878</v>
      </c>
      <c r="N246" s="12">
        <v>24</v>
      </c>
      <c r="O246" s="15"/>
      <c r="P246" s="6">
        <v>40135.56763888889</v>
      </c>
      <c r="Q246" s="11"/>
      <c r="R246" s="19"/>
      <c r="S246" s="11"/>
      <c r="T246" s="11"/>
      <c r="U246" s="10" t="str">
        <f>HYPERLINK("https://pbs.twimg.com/profile_images/985766822854131712/my9f8aot.jpg","View")</f>
        <v>View</v>
      </c>
    </row>
    <row r="247" spans="1:21" ht="91.8">
      <c r="A247" s="6">
        <v>43427.078206018516</v>
      </c>
      <c r="B247" s="7" t="str">
        <f>HYPERLINK("https://twitter.com/bruselensewp","@bruselensewp")</f>
        <v>@bruselensewp</v>
      </c>
      <c r="C247" s="8" t="s">
        <v>688</v>
      </c>
      <c r="D247" s="9" t="s">
        <v>689</v>
      </c>
      <c r="E247" s="10" t="str">
        <f>HYPERLINK("https://twitter.com/bruselensewp/status/1065905952216498176","1065905952216498176")</f>
        <v>1065905952216498176</v>
      </c>
      <c r="F247" s="14" t="s">
        <v>690</v>
      </c>
      <c r="G247" s="14" t="s">
        <v>691</v>
      </c>
      <c r="H247" s="11"/>
      <c r="I247" s="12">
        <v>0</v>
      </c>
      <c r="J247" s="12">
        <v>0</v>
      </c>
      <c r="K247" s="13" t="str">
        <f t="shared" si="43"/>
        <v>Twitter Web Client</v>
      </c>
      <c r="L247" s="12">
        <v>151</v>
      </c>
      <c r="M247" s="12">
        <v>99</v>
      </c>
      <c r="N247" s="12">
        <v>1</v>
      </c>
      <c r="O247" s="15"/>
      <c r="P247" s="6">
        <v>41340.562511574077</v>
      </c>
      <c r="Q247" s="16" t="s">
        <v>692</v>
      </c>
      <c r="R247" s="17" t="s">
        <v>693</v>
      </c>
      <c r="S247" s="14" t="s">
        <v>694</v>
      </c>
      <c r="T247" s="11"/>
      <c r="U247" s="10" t="str">
        <f>HYPERLINK("https://pbs.twimg.com/profile_images/3350934277/55bc07c1013ebdec5689f8e31b8adf6c.jpeg","View")</f>
        <v>View</v>
      </c>
    </row>
    <row r="248" spans="1:21" ht="40.799999999999997">
      <c r="A248" s="6">
        <v>43427.077708333338</v>
      </c>
      <c r="B248" s="7" t="str">
        <f>HYPERLINK("https://twitter.com/UGT_Comunica","@UGT_Comunica")</f>
        <v>@UGT_Comunica</v>
      </c>
      <c r="C248" s="8" t="s">
        <v>1657</v>
      </c>
      <c r="D248" s="9" t="s">
        <v>1689</v>
      </c>
      <c r="E248" s="10" t="str">
        <f>HYPERLINK("https://twitter.com/UGT_Comunica/status/1065905771626594304","1065905771626594304")</f>
        <v>1065905771626594304</v>
      </c>
      <c r="F248" s="14" t="s">
        <v>1690</v>
      </c>
      <c r="G248" s="11"/>
      <c r="H248" s="11"/>
      <c r="I248" s="12">
        <v>4</v>
      </c>
      <c r="J248" s="12">
        <v>2</v>
      </c>
      <c r="K248" s="13" t="str">
        <f t="shared" si="43"/>
        <v>Twitter Web Client</v>
      </c>
      <c r="L248" s="12">
        <v>35910</v>
      </c>
      <c r="M248" s="12">
        <v>10145</v>
      </c>
      <c r="N248" s="12">
        <v>805</v>
      </c>
      <c r="O248" s="18" t="s">
        <v>52</v>
      </c>
      <c r="P248" s="6">
        <v>40116.518564814818</v>
      </c>
      <c r="Q248" s="16" t="s">
        <v>28</v>
      </c>
      <c r="R248" s="17" t="s">
        <v>1661</v>
      </c>
      <c r="S248" s="14" t="s">
        <v>1662</v>
      </c>
      <c r="T248" s="11"/>
      <c r="U248" s="10" t="str">
        <f>HYPERLINK("https://pbs.twimg.com/profile_images/1040496860568449024/rgUg5HJ1.jpg","View")</f>
        <v>View</v>
      </c>
    </row>
    <row r="249" spans="1:21" ht="40.799999999999997">
      <c r="A249" s="6">
        <v>43427.077650462961</v>
      </c>
      <c r="B249" s="7" t="str">
        <f>HYPERLINK("https://twitter.com/El_Plural","@El_Plural")</f>
        <v>@El_Plural</v>
      </c>
      <c r="C249" s="8" t="s">
        <v>1695</v>
      </c>
      <c r="D249" s="9" t="s">
        <v>1696</v>
      </c>
      <c r="E249" s="10" t="str">
        <f>HYPERLINK("https://twitter.com/El_Plural/status/1065905750818652160","1065905750818652160")</f>
        <v>1065905750818652160</v>
      </c>
      <c r="F249" s="14" t="s">
        <v>1697</v>
      </c>
      <c r="G249" s="11"/>
      <c r="H249" s="11"/>
      <c r="I249" s="12">
        <v>1</v>
      </c>
      <c r="J249" s="12">
        <v>2</v>
      </c>
      <c r="K249" s="13" t="str">
        <f>HYPERLINK("https://about.twitter.com/products/tweetdeck","TweetDeck")</f>
        <v>TweetDeck</v>
      </c>
      <c r="L249" s="12">
        <v>71888</v>
      </c>
      <c r="M249" s="12">
        <v>1644</v>
      </c>
      <c r="N249" s="12">
        <v>2012</v>
      </c>
      <c r="O249" s="15"/>
      <c r="P249" s="6">
        <v>40351.13553240741</v>
      </c>
      <c r="Q249" s="16" t="s">
        <v>28</v>
      </c>
      <c r="R249" s="17" t="s">
        <v>1701</v>
      </c>
      <c r="S249" s="14" t="s">
        <v>1702</v>
      </c>
      <c r="T249" s="11"/>
      <c r="U249" s="10" t="str">
        <f>HYPERLINK("https://pbs.twimg.com/profile_images/1017707018138857473/kUt8X2tn.jpg","View")</f>
        <v>View</v>
      </c>
    </row>
    <row r="250" spans="1:21" ht="30.6">
      <c r="A250" s="6">
        <v>43427.076898148152</v>
      </c>
      <c r="B250" s="7" t="str">
        <f>HYPERLINK("https://twitter.com/valesia2","@valesia2")</f>
        <v>@valesia2</v>
      </c>
      <c r="C250" s="8" t="s">
        <v>1706</v>
      </c>
      <c r="D250" s="9" t="s">
        <v>1707</v>
      </c>
      <c r="E250" s="10" t="str">
        <f>HYPERLINK("https://twitter.com/valesia2/status/1065905480437063680","1065905480437063680")</f>
        <v>1065905480437063680</v>
      </c>
      <c r="F250" s="14" t="s">
        <v>371</v>
      </c>
      <c r="G250" s="11"/>
      <c r="H250" s="11"/>
      <c r="I250" s="12">
        <v>0</v>
      </c>
      <c r="J250" s="12">
        <v>0</v>
      </c>
      <c r="K250" s="13" t="str">
        <f>HYPERLINK("http://twitter.com","Twitter Web Client")</f>
        <v>Twitter Web Client</v>
      </c>
      <c r="L250" s="12">
        <v>1576</v>
      </c>
      <c r="M250" s="12">
        <v>1501</v>
      </c>
      <c r="N250" s="12">
        <v>5</v>
      </c>
      <c r="O250" s="15"/>
      <c r="P250" s="6">
        <v>40495.470358796294</v>
      </c>
      <c r="Q250" s="11"/>
      <c r="R250" s="17" t="s">
        <v>1709</v>
      </c>
      <c r="S250" s="11"/>
      <c r="T250" s="11"/>
      <c r="U250" s="10" t="str">
        <f>HYPERLINK("https://pbs.twimg.com/profile_images/959426220663496704/2x1GnkHD.jpg","View")</f>
        <v>View</v>
      </c>
    </row>
    <row r="251" spans="1:21" ht="40.799999999999997">
      <c r="A251" s="6">
        <v>43427.076724537037</v>
      </c>
      <c r="B251" s="7" t="str">
        <f>HYPERLINK("https://twitter.com/JosRomaris","@JosRomaris")</f>
        <v>@JosRomaris</v>
      </c>
      <c r="C251" s="8" t="s">
        <v>1711</v>
      </c>
      <c r="D251" s="9" t="s">
        <v>1712</v>
      </c>
      <c r="E251" s="10" t="str">
        <f>HYPERLINK("https://twitter.com/JosRomaris/status/1065905417254068224","1065905417254068224")</f>
        <v>1065905417254068224</v>
      </c>
      <c r="F251" s="14" t="s">
        <v>1713</v>
      </c>
      <c r="G251" s="11"/>
      <c r="H251" s="11"/>
      <c r="I251" s="12">
        <v>0</v>
      </c>
      <c r="J251" s="12">
        <v>0</v>
      </c>
      <c r="K251" s="13" t="str">
        <f>HYPERLINK("http://twitter.com/download/android","Twitter for Android")</f>
        <v>Twitter for Android</v>
      </c>
      <c r="L251" s="12">
        <v>67</v>
      </c>
      <c r="M251" s="12">
        <v>278</v>
      </c>
      <c r="N251" s="12">
        <v>0</v>
      </c>
      <c r="O251" s="15"/>
      <c r="P251" s="6">
        <v>43378.281041666662</v>
      </c>
      <c r="Q251" s="16" t="s">
        <v>1716</v>
      </c>
      <c r="R251" s="17" t="s">
        <v>1717</v>
      </c>
      <c r="S251" s="11"/>
      <c r="T251" s="11"/>
      <c r="U251" s="10" t="str">
        <f>HYPERLINK("https://pbs.twimg.com/profile_images/1056305325643624449/UqIEkJSS.jpg","View")</f>
        <v>View</v>
      </c>
    </row>
    <row r="252" spans="1:21" ht="51">
      <c r="A252" s="6">
        <v>43427.075370370367</v>
      </c>
      <c r="B252" s="7" t="str">
        <f>HYPERLINK("https://twitter.com/acomasot","@acomasot")</f>
        <v>@acomasot</v>
      </c>
      <c r="C252" s="8" t="s">
        <v>1719</v>
      </c>
      <c r="D252" s="9" t="s">
        <v>1720</v>
      </c>
      <c r="E252" s="10" t="str">
        <f>HYPERLINK("https://twitter.com/acomasot/status/1065904925627072513","1065904925627072513")</f>
        <v>1065904925627072513</v>
      </c>
      <c r="F252" s="14" t="s">
        <v>529</v>
      </c>
      <c r="G252" s="11"/>
      <c r="H252" s="11"/>
      <c r="I252" s="12">
        <v>0</v>
      </c>
      <c r="J252" s="12">
        <v>1</v>
      </c>
      <c r="K252" s="13" t="str">
        <f>HYPERLINK("http://twitter.com/#!/download/ipad","Twitter for iPad")</f>
        <v>Twitter for iPad</v>
      </c>
      <c r="L252" s="12">
        <v>117</v>
      </c>
      <c r="M252" s="12">
        <v>355</v>
      </c>
      <c r="N252" s="12">
        <v>1</v>
      </c>
      <c r="O252" s="15"/>
      <c r="P252" s="6">
        <v>40516.369560185187</v>
      </c>
      <c r="Q252" s="16" t="s">
        <v>28</v>
      </c>
      <c r="R252" s="17" t="s">
        <v>1722</v>
      </c>
      <c r="S252" s="11"/>
      <c r="T252" s="11"/>
      <c r="U252" s="10" t="str">
        <f>HYPERLINK("https://pbs.twimg.com/profile_images/793925003658035201/5F7C-uoV.jpg","View")</f>
        <v>View</v>
      </c>
    </row>
    <row r="253" spans="1:21" ht="40.799999999999997">
      <c r="A253" s="6">
        <v>43427.072141203702</v>
      </c>
      <c r="B253" s="7" t="str">
        <f>HYPERLINK("https://twitter.com/Servimedia","@Servimedia")</f>
        <v>@Servimedia</v>
      </c>
      <c r="C253" s="8" t="s">
        <v>695</v>
      </c>
      <c r="D253" s="9" t="s">
        <v>696</v>
      </c>
      <c r="E253" s="10" t="str">
        <f>HYPERLINK("https://twitter.com/Servimedia/status/1065903755210694656","1065903755210694656")</f>
        <v>1065903755210694656</v>
      </c>
      <c r="F253" s="14" t="s">
        <v>699</v>
      </c>
      <c r="G253" s="11"/>
      <c r="H253" s="11"/>
      <c r="I253" s="12">
        <v>0</v>
      </c>
      <c r="J253" s="12">
        <v>1</v>
      </c>
      <c r="K253" s="13" t="str">
        <f>HYPERLINK("http://twitter.com","Twitter Web Client")</f>
        <v>Twitter Web Client</v>
      </c>
      <c r="L253" s="12">
        <v>14187</v>
      </c>
      <c r="M253" s="12">
        <v>803</v>
      </c>
      <c r="N253" s="12">
        <v>805</v>
      </c>
      <c r="O253" s="15"/>
      <c r="P253" s="6">
        <v>40463.34306712963</v>
      </c>
      <c r="Q253" s="16" t="s">
        <v>87</v>
      </c>
      <c r="R253" s="17" t="s">
        <v>700</v>
      </c>
      <c r="S253" s="14" t="s">
        <v>701</v>
      </c>
      <c r="T253" s="11"/>
      <c r="U253" s="10" t="str">
        <f>HYPERLINK("https://pbs.twimg.com/profile_images/912315408295874561/JZPwOPx_.jpg","View")</f>
        <v>View</v>
      </c>
    </row>
    <row r="254" spans="1:21" ht="20.399999999999999">
      <c r="A254" s="6">
        <v>43427.07</v>
      </c>
      <c r="B254" s="7" t="str">
        <f>HYPERLINK("https://twitter.com/Madridinformer","@Madridinformer")</f>
        <v>@Madridinformer</v>
      </c>
      <c r="C254" s="8" t="s">
        <v>1727</v>
      </c>
      <c r="D254" s="9" t="s">
        <v>1728</v>
      </c>
      <c r="E254" s="10" t="str">
        <f>HYPERLINK("https://twitter.com/Madridinformer/status/1065902979176370176","1065902979176370176")</f>
        <v>1065902979176370176</v>
      </c>
      <c r="F254" s="16" t="s">
        <v>1731</v>
      </c>
      <c r="G254" s="11"/>
      <c r="H254" s="11"/>
      <c r="I254" s="12">
        <v>0</v>
      </c>
      <c r="J254" s="12">
        <v>0</v>
      </c>
      <c r="K254" s="13" t="str">
        <f>HYPERLINK("http://publicize.wp.com/","WordPress.com")</f>
        <v>WordPress.com</v>
      </c>
      <c r="L254" s="12">
        <v>600</v>
      </c>
      <c r="M254" s="12">
        <v>265</v>
      </c>
      <c r="N254" s="12">
        <v>16</v>
      </c>
      <c r="O254" s="15"/>
      <c r="P254" s="6">
        <v>40382.195162037038</v>
      </c>
      <c r="Q254" s="16" t="s">
        <v>38</v>
      </c>
      <c r="R254" s="17" t="s">
        <v>1732</v>
      </c>
      <c r="S254" s="14" t="s">
        <v>1733</v>
      </c>
      <c r="T254" s="11"/>
      <c r="U254" s="10" t="str">
        <f>HYPERLINK("https://pbs.twimg.com/profile_images/901765845898158081/oV3y2-VQ.jpg","View")</f>
        <v>View</v>
      </c>
    </row>
    <row r="255" spans="1:21" ht="51">
      <c r="A255" s="6">
        <v>43427.068888888884</v>
      </c>
      <c r="B255" s="7" t="str">
        <f>HYPERLINK("https://twitter.com/elagoradeivan","@elagoradeivan")</f>
        <v>@elagoradeivan</v>
      </c>
      <c r="C255" s="8" t="s">
        <v>1738</v>
      </c>
      <c r="D255" s="9" t="s">
        <v>1739</v>
      </c>
      <c r="E255" s="10" t="str">
        <f>HYPERLINK("https://twitter.com/elagoradeivan/status/1065902577496350725","1065902577496350725")</f>
        <v>1065902577496350725</v>
      </c>
      <c r="F255" s="11"/>
      <c r="G255" s="11"/>
      <c r="H255" s="11"/>
      <c r="I255" s="12">
        <v>1</v>
      </c>
      <c r="J255" s="12">
        <v>2</v>
      </c>
      <c r="K255" s="13" t="str">
        <f>HYPERLINK("http://twitter.com/download/iphone","Twitter for iPhone")</f>
        <v>Twitter for iPhone</v>
      </c>
      <c r="L255" s="12">
        <v>11445</v>
      </c>
      <c r="M255" s="12">
        <v>676</v>
      </c>
      <c r="N255" s="12">
        <v>174</v>
      </c>
      <c r="O255" s="15"/>
      <c r="P255" s="6">
        <v>40915.580520833333</v>
      </c>
      <c r="Q255" s="16" t="s">
        <v>28</v>
      </c>
      <c r="R255" s="17" t="s">
        <v>1743</v>
      </c>
      <c r="S255" s="14" t="s">
        <v>1744</v>
      </c>
      <c r="T255" s="11"/>
      <c r="U255" s="10" t="str">
        <f>HYPERLINK("https://pbs.twimg.com/profile_images/939489647415185408/j8uUE88n.jpg","View")</f>
        <v>View</v>
      </c>
    </row>
    <row r="256" spans="1:21" ht="51">
      <c r="A256" s="6">
        <v>43427.068692129629</v>
      </c>
      <c r="B256" s="7" t="str">
        <f>HYPERLINK("https://twitter.com/pacocubel","@pacocubel")</f>
        <v>@pacocubel</v>
      </c>
      <c r="C256" s="8" t="s">
        <v>1747</v>
      </c>
      <c r="D256" s="9" t="s">
        <v>1748</v>
      </c>
      <c r="E256" s="10" t="str">
        <f>HYPERLINK("https://twitter.com/pacocubel/status/1065902504020463616","1065902504020463616")</f>
        <v>1065902504020463616</v>
      </c>
      <c r="F256" s="14" t="s">
        <v>1751</v>
      </c>
      <c r="G256" s="14" t="s">
        <v>1752</v>
      </c>
      <c r="H256" s="11"/>
      <c r="I256" s="12">
        <v>0</v>
      </c>
      <c r="J256" s="12">
        <v>1</v>
      </c>
      <c r="K256" s="13" t="str">
        <f>HYPERLINK("http://twitter.com","Twitter Web Client")</f>
        <v>Twitter Web Client</v>
      </c>
      <c r="L256" s="12">
        <v>373</v>
      </c>
      <c r="M256" s="12">
        <v>602</v>
      </c>
      <c r="N256" s="12">
        <v>8</v>
      </c>
      <c r="O256" s="15"/>
      <c r="P256" s="6">
        <v>40669.582997685182</v>
      </c>
      <c r="Q256" s="16" t="s">
        <v>1755</v>
      </c>
      <c r="R256" s="17" t="s">
        <v>1756</v>
      </c>
      <c r="S256" s="11"/>
      <c r="T256" s="11"/>
      <c r="U256" s="10" t="str">
        <f>HYPERLINK("https://pbs.twimg.com/profile_images/1341866747/calle_de_Mesones.jpg","View")</f>
        <v>View</v>
      </c>
    </row>
    <row r="257" spans="1:21" ht="20.399999999999999">
      <c r="A257" s="6">
        <v>43427.068576388891</v>
      </c>
      <c r="B257" s="7" t="str">
        <f>HYPERLINK("https://twitter.com/virpb","@virpb")</f>
        <v>@virpb</v>
      </c>
      <c r="C257" s="8" t="s">
        <v>1760</v>
      </c>
      <c r="D257" s="9" t="s">
        <v>1761</v>
      </c>
      <c r="E257" s="10" t="str">
        <f>HYPERLINK("https://twitter.com/virpb/status/1065902465596485632","1065902465596485632")</f>
        <v>1065902465596485632</v>
      </c>
      <c r="F257" s="11"/>
      <c r="G257" s="14" t="s">
        <v>1762</v>
      </c>
      <c r="H257" s="11"/>
      <c r="I257" s="12">
        <v>16</v>
      </c>
      <c r="J257" s="12">
        <v>12</v>
      </c>
      <c r="K257" s="13" t="str">
        <f>HYPERLINK("http://twitter.com/download/iphone","Twitter for iPhone")</f>
        <v>Twitter for iPhone</v>
      </c>
      <c r="L257" s="12">
        <v>2980</v>
      </c>
      <c r="M257" s="12">
        <v>1067</v>
      </c>
      <c r="N257" s="12">
        <v>32</v>
      </c>
      <c r="O257" s="15"/>
      <c r="P257" s="6">
        <v>41231.366053240738</v>
      </c>
      <c r="Q257" s="16" t="s">
        <v>93</v>
      </c>
      <c r="R257" s="17" t="s">
        <v>1765</v>
      </c>
      <c r="S257" s="11"/>
      <c r="T257" s="11"/>
      <c r="U257" s="10" t="str">
        <f>HYPERLINK("https://pbs.twimg.com/profile_images/1000343511403778048/bmOTcuaV.jpg","View")</f>
        <v>View</v>
      </c>
    </row>
    <row r="258" spans="1:21" ht="20.399999999999999">
      <c r="A258" s="6">
        <v>43427.066608796296</v>
      </c>
      <c r="B258" s="7" t="str">
        <f>HYPERLINK("https://twitter.com/AnarcoCapBot","@AnarcoCapBot")</f>
        <v>@AnarcoCapBot</v>
      </c>
      <c r="C258" s="8" t="s">
        <v>1768</v>
      </c>
      <c r="D258" s="9" t="s">
        <v>1769</v>
      </c>
      <c r="E258" s="10" t="str">
        <f>HYPERLINK("https://twitter.com/AnarcoCapBot/status/1065901752510226434","1065901752510226434")</f>
        <v>1065901752510226434</v>
      </c>
      <c r="F258" s="11"/>
      <c r="G258" s="11"/>
      <c r="H258" s="11"/>
      <c r="I258" s="12">
        <v>0</v>
      </c>
      <c r="J258" s="12">
        <v>0</v>
      </c>
      <c r="K258" s="13" t="str">
        <f>HYPERLINK("https://cheapbotsdonequick.com","Cheap Bots, Done Quick!")</f>
        <v>Cheap Bots, Done Quick!</v>
      </c>
      <c r="L258" s="12">
        <v>298</v>
      </c>
      <c r="M258" s="12">
        <v>6</v>
      </c>
      <c r="N258" s="12">
        <v>6</v>
      </c>
      <c r="O258" s="15"/>
      <c r="P258" s="6">
        <v>42536.143969907411</v>
      </c>
      <c r="Q258" s="11"/>
      <c r="R258" s="17" t="s">
        <v>1771</v>
      </c>
      <c r="S258" s="11"/>
      <c r="T258" s="11"/>
      <c r="U258" s="10" t="str">
        <f>HYPERLINK("https://pbs.twimg.com/profile_images/743027666924797953/cZxwnV1X.jpg","View")</f>
        <v>View</v>
      </c>
    </row>
    <row r="259" spans="1:21" ht="81.599999999999994">
      <c r="A259" s="6">
        <v>43427.066099537042</v>
      </c>
      <c r="B259" s="7" t="str">
        <f>HYPERLINK("https://twitter.com/Villarrubia_67","@Villarrubia_67")</f>
        <v>@Villarrubia_67</v>
      </c>
      <c r="C259" s="8" t="s">
        <v>704</v>
      </c>
      <c r="D259" s="9" t="s">
        <v>705</v>
      </c>
      <c r="E259" s="10" t="str">
        <f>HYPERLINK("https://twitter.com/Villarrubia_67/status/1065901564051812352","1065901564051812352")</f>
        <v>1065901564051812352</v>
      </c>
      <c r="F259" s="14" t="s">
        <v>708</v>
      </c>
      <c r="G259" s="14" t="s">
        <v>709</v>
      </c>
      <c r="H259" s="11"/>
      <c r="I259" s="12">
        <v>0</v>
      </c>
      <c r="J259" s="12">
        <v>0</v>
      </c>
      <c r="K259" s="13" t="str">
        <f>HYPERLINK("http://twitter.com","Twitter Web Client")</f>
        <v>Twitter Web Client</v>
      </c>
      <c r="L259" s="12">
        <v>1087</v>
      </c>
      <c r="M259" s="12">
        <v>58</v>
      </c>
      <c r="N259" s="12">
        <v>16</v>
      </c>
      <c r="O259" s="15"/>
      <c r="P259" s="6">
        <v>40783.257685185185</v>
      </c>
      <c r="Q259" s="16" t="s">
        <v>710</v>
      </c>
      <c r="R259" s="17" t="s">
        <v>711</v>
      </c>
      <c r="S259" s="11"/>
      <c r="T259" s="11"/>
      <c r="U259" s="10" t="str">
        <f>HYPERLINK("https://pbs.twimg.com/profile_images/1010482880827543552/RRn4kVuB.jpg","View")</f>
        <v>View</v>
      </c>
    </row>
    <row r="260" spans="1:21" ht="40.799999999999997">
      <c r="A260" s="6">
        <v>43427.062777777777</v>
      </c>
      <c r="B260" s="7" t="str">
        <f>HYPERLINK("https://twitter.com/rangeltarres","@rangeltarres")</f>
        <v>@rangeltarres</v>
      </c>
      <c r="C260" s="8" t="s">
        <v>1777</v>
      </c>
      <c r="D260" s="9" t="s">
        <v>1778</v>
      </c>
      <c r="E260" s="10" t="str">
        <f>HYPERLINK("https://twitter.com/rangeltarres/status/1065900361632886785","1065900361632886785")</f>
        <v>1065900361632886785</v>
      </c>
      <c r="F260" s="14" t="s">
        <v>1781</v>
      </c>
      <c r="G260" s="11"/>
      <c r="H260" s="11"/>
      <c r="I260" s="12">
        <v>3</v>
      </c>
      <c r="J260" s="12">
        <v>7</v>
      </c>
      <c r="K260" s="13" t="str">
        <f>HYPERLINK("http://www.facebook.com/twitter","Facebook")</f>
        <v>Facebook</v>
      </c>
      <c r="L260" s="12">
        <v>4965</v>
      </c>
      <c r="M260" s="12">
        <v>4439</v>
      </c>
      <c r="N260" s="12">
        <v>161</v>
      </c>
      <c r="O260" s="15"/>
      <c r="P260" s="6">
        <v>40503.544432870374</v>
      </c>
      <c r="Q260" s="16" t="s">
        <v>1782</v>
      </c>
      <c r="R260" s="17" t="s">
        <v>1783</v>
      </c>
      <c r="S260" s="11"/>
      <c r="T260" s="11"/>
      <c r="U260" s="10" t="str">
        <f>HYPERLINK("https://pbs.twimg.com/profile_images/795686748051349504/klBoeN1F.jpg","View")</f>
        <v>View</v>
      </c>
    </row>
    <row r="261" spans="1:21" ht="40.799999999999997">
      <c r="A261" s="6">
        <v>43427.061261574076</v>
      </c>
      <c r="B261" s="7" t="str">
        <f>HYPERLINK("https://twitter.com/Masby1","@Masby1")</f>
        <v>@Masby1</v>
      </c>
      <c r="C261" s="8" t="s">
        <v>1786</v>
      </c>
      <c r="D261" s="9" t="s">
        <v>1787</v>
      </c>
      <c r="E261" s="10" t="str">
        <f>HYPERLINK("https://twitter.com/Masby1/status/1065899810933403648","1065899810933403648")</f>
        <v>1065899810933403648</v>
      </c>
      <c r="F261" s="14" t="s">
        <v>1788</v>
      </c>
      <c r="G261" s="11"/>
      <c r="H261" s="11"/>
      <c r="I261" s="12">
        <v>3</v>
      </c>
      <c r="J261" s="12">
        <v>2</v>
      </c>
      <c r="K261" s="13" t="str">
        <f>HYPERLINK("http://twitter.com","Twitter Web Client")</f>
        <v>Twitter Web Client</v>
      </c>
      <c r="L261" s="12">
        <v>8941</v>
      </c>
      <c r="M261" s="12">
        <v>2159</v>
      </c>
      <c r="N261" s="12">
        <v>94</v>
      </c>
      <c r="O261" s="15"/>
      <c r="P261" s="6">
        <v>40450.533495370371</v>
      </c>
      <c r="Q261" s="16" t="s">
        <v>28</v>
      </c>
      <c r="R261" s="17" t="s">
        <v>1791</v>
      </c>
      <c r="S261" s="14" t="s">
        <v>1792</v>
      </c>
      <c r="T261" s="11"/>
      <c r="U261" s="10" t="str">
        <f>HYPERLINK("https://pbs.twimg.com/profile_images/1133978391/masby.jpg","View")</f>
        <v>View</v>
      </c>
    </row>
    <row r="262" spans="1:21" ht="71.400000000000006">
      <c r="A262" s="6">
        <v>43427.060208333336</v>
      </c>
      <c r="B262" s="7" t="str">
        <f>HYPERLINK("https://twitter.com/PAyuso95","@PAyuso95")</f>
        <v>@PAyuso95</v>
      </c>
      <c r="C262" s="8" t="s">
        <v>1794</v>
      </c>
      <c r="D262" s="9" t="s">
        <v>1796</v>
      </c>
      <c r="E262" s="10" t="str">
        <f>HYPERLINK("https://twitter.com/PAyuso95/status/1065899431516667906","1065899431516667906")</f>
        <v>1065899431516667906</v>
      </c>
      <c r="F262" s="16" t="s">
        <v>1797</v>
      </c>
      <c r="G262" s="11"/>
      <c r="H262" s="11"/>
      <c r="I262" s="12">
        <v>0</v>
      </c>
      <c r="J262" s="12">
        <v>0</v>
      </c>
      <c r="K262" s="13" t="str">
        <f>HYPERLINK("http://twitter.com/download/android","Twitter for Android")</f>
        <v>Twitter for Android</v>
      </c>
      <c r="L262" s="12">
        <v>271</v>
      </c>
      <c r="M262" s="12">
        <v>363</v>
      </c>
      <c r="N262" s="12">
        <v>0</v>
      </c>
      <c r="O262" s="15"/>
      <c r="P262" s="6">
        <v>41149.602905092594</v>
      </c>
      <c r="Q262" s="11"/>
      <c r="R262" s="17" t="s">
        <v>1798</v>
      </c>
      <c r="S262" s="11"/>
      <c r="T262" s="11"/>
      <c r="U262" s="10" t="str">
        <f>HYPERLINK("https://pbs.twimg.com/profile_images/1055573607059988481/tcGH5RTb.jpg","View")</f>
        <v>View</v>
      </c>
    </row>
    <row r="263" spans="1:21" ht="71.400000000000006">
      <c r="A263" s="6">
        <v>43427.059525462959</v>
      </c>
      <c r="B263" s="7" t="str">
        <f>HYPERLINK("https://twitter.com/pipio44","@pipio44")</f>
        <v>@pipio44</v>
      </c>
      <c r="C263" s="8" t="s">
        <v>713</v>
      </c>
      <c r="D263" s="9" t="s">
        <v>715</v>
      </c>
      <c r="E263" s="10" t="str">
        <f>HYPERLINK("https://twitter.com/pipio44/status/1065899183457140736","1065899183457140736")</f>
        <v>1065899183457140736</v>
      </c>
      <c r="F263" s="14" t="s">
        <v>717</v>
      </c>
      <c r="G263" s="14" t="s">
        <v>718</v>
      </c>
      <c r="H263" s="11"/>
      <c r="I263" s="12">
        <v>0</v>
      </c>
      <c r="J263" s="12">
        <v>0</v>
      </c>
      <c r="K263" s="13" t="str">
        <f>HYPERLINK("http://twitter.com/download/iphone","Twitter for iPhone")</f>
        <v>Twitter for iPhone</v>
      </c>
      <c r="L263" s="12">
        <v>737</v>
      </c>
      <c r="M263" s="12">
        <v>544</v>
      </c>
      <c r="N263" s="12">
        <v>28</v>
      </c>
      <c r="O263" s="15"/>
      <c r="P263" s="6">
        <v>40770.663275462961</v>
      </c>
      <c r="Q263" s="11"/>
      <c r="R263" s="17" t="s">
        <v>719</v>
      </c>
      <c r="S263" s="11"/>
      <c r="T263" s="11"/>
      <c r="U263" s="10" t="str">
        <f>HYPERLINK("https://pbs.twimg.com/profile_images/1052141810347364353/8JWxa8CG.jpg","View")</f>
        <v>View</v>
      </c>
    </row>
    <row r="264" spans="1:21" ht="40.799999999999997">
      <c r="A264" s="6">
        <v>43427.059108796297</v>
      </c>
      <c r="B264" s="7" t="str">
        <f>HYPERLINK("https://twitter.com/lextresabogados","@lextresabogados")</f>
        <v>@lextresabogados</v>
      </c>
      <c r="C264" s="8" t="s">
        <v>1806</v>
      </c>
      <c r="D264" s="9" t="s">
        <v>1807</v>
      </c>
      <c r="E264" s="10" t="str">
        <f>HYPERLINK("https://twitter.com/lextresabogados/status/1065899030704734209","1065899030704734209")</f>
        <v>1065899030704734209</v>
      </c>
      <c r="F264" s="14" t="s">
        <v>728</v>
      </c>
      <c r="G264" s="14" t="s">
        <v>1808</v>
      </c>
      <c r="H264" s="11"/>
      <c r="I264" s="12">
        <v>0</v>
      </c>
      <c r="J264" s="12">
        <v>0</v>
      </c>
      <c r="K264" s="13" t="str">
        <f>HYPERLINK("http://35.180.36.179","botize nueva")</f>
        <v>botize nueva</v>
      </c>
      <c r="L264" s="12">
        <v>2230</v>
      </c>
      <c r="M264" s="12">
        <v>3277</v>
      </c>
      <c r="N264" s="12">
        <v>22</v>
      </c>
      <c r="O264" s="15"/>
      <c r="P264" s="6">
        <v>42880.395949074074</v>
      </c>
      <c r="Q264" s="16" t="s">
        <v>123</v>
      </c>
      <c r="R264" s="17" t="s">
        <v>1810</v>
      </c>
      <c r="S264" s="14" t="s">
        <v>1811</v>
      </c>
      <c r="T264" s="11"/>
      <c r="U264" s="10" t="str">
        <f>HYPERLINK("https://pbs.twimg.com/profile_images/1058352229546164224/xnNCczNu.jpg","View")</f>
        <v>View</v>
      </c>
    </row>
    <row r="265" spans="1:21" ht="30.6">
      <c r="A265" s="6">
        <v>43427.057951388888</v>
      </c>
      <c r="B265" s="7" t="str">
        <f>HYPERLINK("https://twitter.com/EFEnoticias_ES","@EFEnoticias_ES")</f>
        <v>@EFEnoticias_ES</v>
      </c>
      <c r="C265" s="8" t="s">
        <v>1813</v>
      </c>
      <c r="D265" s="9" t="s">
        <v>1814</v>
      </c>
      <c r="E265" s="10" t="str">
        <f>HYPERLINK("https://twitter.com/EFEnoticias_ES/status/1065898614499803136","1065898614499803136")</f>
        <v>1065898614499803136</v>
      </c>
      <c r="F265" s="11"/>
      <c r="G265" s="11"/>
      <c r="H265" s="11"/>
      <c r="I265" s="12">
        <v>0</v>
      </c>
      <c r="J265" s="12">
        <v>1</v>
      </c>
      <c r="K265" s="13" t="str">
        <f>HYPERLINK("http://twitter.com","Twitter Web Client")</f>
        <v>Twitter Web Client</v>
      </c>
      <c r="L265" s="12">
        <v>7140</v>
      </c>
      <c r="M265" s="12">
        <v>37</v>
      </c>
      <c r="N265" s="12">
        <v>95</v>
      </c>
      <c r="O265" s="15"/>
      <c r="P265" s="6">
        <v>41710.234131944446</v>
      </c>
      <c r="Q265" s="16" t="s">
        <v>28</v>
      </c>
      <c r="R265" s="17" t="s">
        <v>1816</v>
      </c>
      <c r="S265" s="14" t="s">
        <v>1818</v>
      </c>
      <c r="T265" s="11"/>
      <c r="U265" s="10" t="str">
        <f>HYPERLINK("https://pbs.twimg.com/profile_images/930868948211552256/D5EpVtBi.jpg","View")</f>
        <v>View</v>
      </c>
    </row>
    <row r="266" spans="1:21" ht="20.399999999999999">
      <c r="A266" s="6">
        <v>43427.057905092588</v>
      </c>
      <c r="B266" s="7" t="str">
        <f>HYPERLINK("https://twitter.com/EPAndalucia","@EPAndalucia")</f>
        <v>@EPAndalucia</v>
      </c>
      <c r="C266" s="8" t="s">
        <v>1231</v>
      </c>
      <c r="D266" s="9" t="s">
        <v>1822</v>
      </c>
      <c r="E266" s="10" t="str">
        <f>HYPERLINK("https://twitter.com/EPAndalucia/status/1065898596078362625","1065898596078362625")</f>
        <v>1065898596078362625</v>
      </c>
      <c r="F266" s="14" t="s">
        <v>1823</v>
      </c>
      <c r="G266" s="11"/>
      <c r="H266" s="11"/>
      <c r="I266" s="12">
        <v>1</v>
      </c>
      <c r="J266" s="12">
        <v>2</v>
      </c>
      <c r="K266" s="13" t="str">
        <f>HYPERLINK("http://www.europapress.es/andalucia","Twitter editor Andalucia")</f>
        <v>Twitter editor Andalucia</v>
      </c>
      <c r="L266" s="12">
        <v>37380</v>
      </c>
      <c r="M266" s="12">
        <v>1177</v>
      </c>
      <c r="N266" s="12">
        <v>855</v>
      </c>
      <c r="O266" s="15"/>
      <c r="P266" s="6">
        <v>40540.369988425926</v>
      </c>
      <c r="Q266" s="16" t="s">
        <v>1234</v>
      </c>
      <c r="R266" s="17" t="s">
        <v>1235</v>
      </c>
      <c r="S266" s="14" t="s">
        <v>1236</v>
      </c>
      <c r="T266" s="11"/>
      <c r="U266" s="10" t="str">
        <f>HYPERLINK("https://pbs.twimg.com/profile_images/876784913466503168/u7k3N7mS.jpg","View")</f>
        <v>View</v>
      </c>
    </row>
    <row r="267" spans="1:21" ht="20.399999999999999">
      <c r="A267" s="6">
        <v>43427.057858796295</v>
      </c>
      <c r="B267" s="7" t="str">
        <f>HYPERLINK("https://twitter.com/teleprensa","@teleprensa")</f>
        <v>@teleprensa</v>
      </c>
      <c r="C267" s="8" t="s">
        <v>1826</v>
      </c>
      <c r="D267" s="9" t="s">
        <v>1828</v>
      </c>
      <c r="E267" s="10" t="str">
        <f>HYPERLINK("https://twitter.com/teleprensa/status/1065898578541973509","1065898578541973509")</f>
        <v>1065898578541973509</v>
      </c>
      <c r="F267" s="14" t="s">
        <v>1830</v>
      </c>
      <c r="G267" s="11"/>
      <c r="H267" s="11"/>
      <c r="I267" s="12">
        <v>0</v>
      </c>
      <c r="J267" s="12">
        <v>0</v>
      </c>
      <c r="K267" s="13" t="str">
        <f>HYPERLINK("http://www.teleprensa.es","Teleprensa")</f>
        <v>Teleprensa</v>
      </c>
      <c r="L267" s="12">
        <v>6630</v>
      </c>
      <c r="M267" s="12">
        <v>61</v>
      </c>
      <c r="N267" s="12">
        <v>165</v>
      </c>
      <c r="O267" s="15"/>
      <c r="P267" s="6">
        <v>39833.367754629631</v>
      </c>
      <c r="Q267" s="16" t="s">
        <v>180</v>
      </c>
      <c r="R267" s="17" t="s">
        <v>1832</v>
      </c>
      <c r="S267" s="14" t="s">
        <v>1833</v>
      </c>
      <c r="T267" s="11"/>
      <c r="U267" s="10" t="str">
        <f>HYPERLINK("https://pbs.twimg.com/profile_images/948234462428581889/njFLb4ok.jpg","View")</f>
        <v>View</v>
      </c>
    </row>
    <row r="268" spans="1:21" ht="40.799999999999997">
      <c r="A268" s="6">
        <v>43427.057060185187</v>
      </c>
      <c r="B268" s="7" t="str">
        <f>HYPERLINK("https://twitter.com/juancarlosmohr","@juancarlosmohr")</f>
        <v>@juancarlosmohr</v>
      </c>
      <c r="C268" s="8" t="s">
        <v>1835</v>
      </c>
      <c r="D268" s="9" t="s">
        <v>1836</v>
      </c>
      <c r="E268" s="10" t="str">
        <f>HYPERLINK("https://twitter.com/juancarlosmohr/status/1065898290624036864","1065898290624036864")</f>
        <v>1065898290624036864</v>
      </c>
      <c r="F268" s="14" t="s">
        <v>1837</v>
      </c>
      <c r="G268" s="11"/>
      <c r="H268" s="11"/>
      <c r="I268" s="12">
        <v>1</v>
      </c>
      <c r="J268" s="12">
        <v>1</v>
      </c>
      <c r="K268" s="13" t="str">
        <f>HYPERLINK("http://twitter.com/download/iphone","Twitter for iPhone")</f>
        <v>Twitter for iPhone</v>
      </c>
      <c r="L268" s="12">
        <v>22455</v>
      </c>
      <c r="M268" s="12">
        <v>1117</v>
      </c>
      <c r="N268" s="12">
        <v>446</v>
      </c>
      <c r="O268" s="15"/>
      <c r="P268" s="6">
        <v>40292.350057870368</v>
      </c>
      <c r="Q268" s="11"/>
      <c r="R268" s="17" t="s">
        <v>1840</v>
      </c>
      <c r="S268" s="14" t="s">
        <v>1841</v>
      </c>
      <c r="T268" s="11"/>
      <c r="U268" s="10" t="str">
        <f>HYPERLINK("https://pbs.twimg.com/profile_images/678888090329575429/ua1Mj29w.jpg","View")</f>
        <v>View</v>
      </c>
    </row>
    <row r="269" spans="1:21" ht="61.2">
      <c r="A269" s="6">
        <v>43427.056550925925</v>
      </c>
      <c r="B269" s="7" t="str">
        <f>HYPERLINK("https://twitter.com/lvirgilifor","@lvirgilifor")</f>
        <v>@lvirgilifor</v>
      </c>
      <c r="C269" s="8" t="s">
        <v>720</v>
      </c>
      <c r="D269" s="9" t="s">
        <v>721</v>
      </c>
      <c r="E269" s="10" t="str">
        <f>HYPERLINK("https://twitter.com/lvirgilifor/status/1065898106011684864","1065898106011684864")</f>
        <v>1065898106011684864</v>
      </c>
      <c r="F269" s="14" t="s">
        <v>722</v>
      </c>
      <c r="G269" s="14" t="s">
        <v>723</v>
      </c>
      <c r="H269" s="11"/>
      <c r="I269" s="12">
        <v>0</v>
      </c>
      <c r="J269" s="12">
        <v>0</v>
      </c>
      <c r="K269" s="13" t="str">
        <f>HYPERLINK("http://twitter.com/download/android","Twitter for Android")</f>
        <v>Twitter for Android</v>
      </c>
      <c r="L269" s="12">
        <v>500</v>
      </c>
      <c r="M269" s="12">
        <v>1228</v>
      </c>
      <c r="N269" s="12">
        <v>11</v>
      </c>
      <c r="O269" s="15"/>
      <c r="P269" s="6">
        <v>42611.479074074072</v>
      </c>
      <c r="Q269" s="16" t="s">
        <v>724</v>
      </c>
      <c r="R269" s="17" t="s">
        <v>725</v>
      </c>
      <c r="S269" s="11"/>
      <c r="T269" s="11"/>
      <c r="U269" s="10" t="str">
        <f>HYPERLINK("https://pbs.twimg.com/profile_images/1037716893455605765/wIhOdKNa.jpg","View")</f>
        <v>View</v>
      </c>
    </row>
    <row r="270" spans="1:21" ht="40.799999999999997">
      <c r="A270" s="6">
        <v>43427.056273148148</v>
      </c>
      <c r="B270" s="7" t="str">
        <f>HYPERLINK("https://twitter.com/expansioncom","@expansioncom")</f>
        <v>@expansioncom</v>
      </c>
      <c r="C270" s="8" t="s">
        <v>726</v>
      </c>
      <c r="D270" s="9" t="s">
        <v>727</v>
      </c>
      <c r="E270" s="10" t="str">
        <f>HYPERLINK("https://twitter.com/expansioncom/status/1065898005331656704","1065898005331656704")</f>
        <v>1065898005331656704</v>
      </c>
      <c r="F270" s="14" t="s">
        <v>728</v>
      </c>
      <c r="G270" s="14" t="s">
        <v>729</v>
      </c>
      <c r="H270" s="11"/>
      <c r="I270" s="12">
        <v>3</v>
      </c>
      <c r="J270" s="12">
        <v>1</v>
      </c>
      <c r="K270" s="13" t="str">
        <f t="shared" ref="K270:K271" si="44">HYPERLINK("https://buffer.com","Buffer")</f>
        <v>Buffer</v>
      </c>
      <c r="L270" s="12">
        <v>712341</v>
      </c>
      <c r="M270" s="12">
        <v>281</v>
      </c>
      <c r="N270" s="12">
        <v>9862</v>
      </c>
      <c r="O270" s="18" t="s">
        <v>52</v>
      </c>
      <c r="P270" s="6">
        <v>39597.090937499997</v>
      </c>
      <c r="Q270" s="16" t="s">
        <v>28</v>
      </c>
      <c r="R270" s="17" t="s">
        <v>730</v>
      </c>
      <c r="S270" s="14" t="s">
        <v>731</v>
      </c>
      <c r="T270" s="11"/>
      <c r="U270" s="10" t="str">
        <f>HYPERLINK("https://pbs.twimg.com/profile_images/580307398012870656/EcHhO0Lq.jpg","View")</f>
        <v>View</v>
      </c>
    </row>
    <row r="271" spans="1:21" ht="20.399999999999999">
      <c r="A271" s="6">
        <v>43427.055590277778</v>
      </c>
      <c r="B271" s="7" t="str">
        <f>HYPERLINK("https://twitter.com/exp_economia","@exp_economia")</f>
        <v>@exp_economia</v>
      </c>
      <c r="C271" s="8" t="s">
        <v>732</v>
      </c>
      <c r="D271" s="9" t="s">
        <v>727</v>
      </c>
      <c r="E271" s="10" t="str">
        <f>HYPERLINK("https://twitter.com/exp_economia/status/1065897759121829889","1065897759121829889")</f>
        <v>1065897759121829889</v>
      </c>
      <c r="F271" s="14" t="s">
        <v>728</v>
      </c>
      <c r="G271" s="14" t="s">
        <v>733</v>
      </c>
      <c r="H271" s="11"/>
      <c r="I271" s="12">
        <v>0</v>
      </c>
      <c r="J271" s="12">
        <v>0</v>
      </c>
      <c r="K271" s="13" t="str">
        <f t="shared" si="44"/>
        <v>Buffer</v>
      </c>
      <c r="L271" s="12">
        <v>12248</v>
      </c>
      <c r="M271" s="12">
        <v>83</v>
      </c>
      <c r="N271" s="12">
        <v>371</v>
      </c>
      <c r="O271" s="15"/>
      <c r="P271" s="6">
        <v>40602.329212962963</v>
      </c>
      <c r="Q271" s="16" t="s">
        <v>38</v>
      </c>
      <c r="R271" s="17" t="s">
        <v>734</v>
      </c>
      <c r="S271" s="14" t="s">
        <v>731</v>
      </c>
      <c r="T271" s="11"/>
      <c r="U271" s="10" t="str">
        <f>HYPERLINK("https://pbs.twimg.com/profile_images/580305929909985280/9ASzIVul.jpg","View")</f>
        <v>View</v>
      </c>
    </row>
    <row r="272" spans="1:21" ht="71.400000000000006">
      <c r="A272" s="6">
        <v>43427.055381944447</v>
      </c>
      <c r="B272" s="7" t="str">
        <f>HYPERLINK("https://twitter.com/Leomon81746568","@Leomon81746568")</f>
        <v>@Leomon81746568</v>
      </c>
      <c r="C272" s="8" t="s">
        <v>735</v>
      </c>
      <c r="D272" s="9" t="s">
        <v>736</v>
      </c>
      <c r="E272" s="10" t="str">
        <f>HYPERLINK("https://twitter.com/Leomon81746568/status/1065897681107804160","1065897681107804160")</f>
        <v>1065897681107804160</v>
      </c>
      <c r="F272" s="16" t="s">
        <v>737</v>
      </c>
      <c r="G272" s="11"/>
      <c r="H272" s="11"/>
      <c r="I272" s="12">
        <v>1</v>
      </c>
      <c r="J272" s="12">
        <v>0</v>
      </c>
      <c r="K272" s="13" t="str">
        <f t="shared" ref="K272:K273" si="45">HYPERLINK("http://twitter.com/download/android","Twitter for Android")</f>
        <v>Twitter for Android</v>
      </c>
      <c r="L272" s="12">
        <v>1261</v>
      </c>
      <c r="M272" s="12">
        <v>1564</v>
      </c>
      <c r="N272" s="12">
        <v>1</v>
      </c>
      <c r="O272" s="15"/>
      <c r="P272" s="6">
        <v>43037.575497685189</v>
      </c>
      <c r="Q272" s="16" t="s">
        <v>740</v>
      </c>
      <c r="R272" s="17" t="s">
        <v>741</v>
      </c>
      <c r="S272" s="11"/>
      <c r="T272" s="11"/>
      <c r="U272" s="10" t="str">
        <f>HYPERLINK("https://pbs.twimg.com/profile_images/925771376488828928/_Sw_PE1N.jpg","View")</f>
        <v>View</v>
      </c>
    </row>
    <row r="273" spans="1:21" ht="102">
      <c r="A273" s="6">
        <v>43427.054467592592</v>
      </c>
      <c r="B273" s="7" t="str">
        <f>HYPERLINK("https://twitter.com/AzoteCasta","@AzoteCasta")</f>
        <v>@AzoteCasta</v>
      </c>
      <c r="C273" s="8" t="s">
        <v>744</v>
      </c>
      <c r="D273" s="9" t="s">
        <v>745</v>
      </c>
      <c r="E273" s="10" t="str">
        <f>HYPERLINK("https://twitter.com/AzoteCasta/status/1065897350948954112","1065897350948954112")</f>
        <v>1065897350948954112</v>
      </c>
      <c r="F273" s="14" t="s">
        <v>748</v>
      </c>
      <c r="G273" s="14" t="s">
        <v>749</v>
      </c>
      <c r="H273" s="11"/>
      <c r="I273" s="12">
        <v>0</v>
      </c>
      <c r="J273" s="12">
        <v>0</v>
      </c>
      <c r="K273" s="13" t="str">
        <f t="shared" si="45"/>
        <v>Twitter for Android</v>
      </c>
      <c r="L273" s="12">
        <v>3638</v>
      </c>
      <c r="M273" s="12">
        <v>2743</v>
      </c>
      <c r="N273" s="12">
        <v>63</v>
      </c>
      <c r="O273" s="15"/>
      <c r="P273" s="6">
        <v>41440.673819444448</v>
      </c>
      <c r="Q273" s="16" t="s">
        <v>28</v>
      </c>
      <c r="R273" s="17" t="s">
        <v>751</v>
      </c>
      <c r="S273" s="11"/>
      <c r="T273" s="11"/>
      <c r="U273" s="10" t="str">
        <f>HYPERLINK("https://pbs.twimg.com/profile_images/1037474236691042309/9t-T1AZv.jpg","View")</f>
        <v>View</v>
      </c>
    </row>
    <row r="274" spans="1:21" ht="51">
      <c r="A274" s="6">
        <v>43427.053576388891</v>
      </c>
      <c r="B274" s="7" t="str">
        <f>HYPERLINK("https://twitter.com/reguerasilva1","@reguerasilva1")</f>
        <v>@reguerasilva1</v>
      </c>
      <c r="C274" s="8" t="s">
        <v>1865</v>
      </c>
      <c r="D274" s="9" t="s">
        <v>1866</v>
      </c>
      <c r="E274" s="10" t="str">
        <f>HYPERLINK("https://twitter.com/reguerasilva1/status/1065897027949727744","1065897027949727744")</f>
        <v>1065897027949727744</v>
      </c>
      <c r="F274" s="11"/>
      <c r="G274" s="11"/>
      <c r="H274" s="11"/>
      <c r="I274" s="12">
        <v>48</v>
      </c>
      <c r="J274" s="12">
        <v>66</v>
      </c>
      <c r="K274" s="13" t="str">
        <f t="shared" ref="K274:K276" si="46">HYPERLINK("http://twitter.com","Twitter Web Client")</f>
        <v>Twitter Web Client</v>
      </c>
      <c r="L274" s="12">
        <v>3543</v>
      </c>
      <c r="M274" s="12">
        <v>3490</v>
      </c>
      <c r="N274" s="12">
        <v>2</v>
      </c>
      <c r="O274" s="15"/>
      <c r="P274" s="6">
        <v>42572.986481481479</v>
      </c>
      <c r="Q274" s="16" t="s">
        <v>1188</v>
      </c>
      <c r="R274" s="17" t="s">
        <v>1868</v>
      </c>
      <c r="S274" s="11"/>
      <c r="T274" s="11"/>
      <c r="U274" s="10" t="str">
        <f>HYPERLINK("https://pbs.twimg.com/profile_images/913515234526187520/NOAh41v7.jpg","View")</f>
        <v>View</v>
      </c>
    </row>
    <row r="275" spans="1:21" ht="71.400000000000006">
      <c r="A275" s="6">
        <v>43427.053449074076</v>
      </c>
      <c r="B275" s="7" t="str">
        <f>HYPERLINK("https://twitter.com/inglesskype","@inglesskype")</f>
        <v>@inglesskype</v>
      </c>
      <c r="C275" s="8" t="s">
        <v>1870</v>
      </c>
      <c r="D275" s="9" t="s">
        <v>1871</v>
      </c>
      <c r="E275" s="10" t="str">
        <f>HYPERLINK("https://twitter.com/inglesskype/status/1065896983053942784","1065896983053942784")</f>
        <v>1065896983053942784</v>
      </c>
      <c r="F275" s="16" t="s">
        <v>1872</v>
      </c>
      <c r="G275" s="11"/>
      <c r="H275" s="11"/>
      <c r="I275" s="12">
        <v>4</v>
      </c>
      <c r="J275" s="12">
        <v>4</v>
      </c>
      <c r="K275" s="13" t="str">
        <f t="shared" si="46"/>
        <v>Twitter Web Client</v>
      </c>
      <c r="L275" s="12">
        <v>1393</v>
      </c>
      <c r="M275" s="12">
        <v>1323</v>
      </c>
      <c r="N275" s="12">
        <v>41</v>
      </c>
      <c r="O275" s="15"/>
      <c r="P275" s="6">
        <v>41995.339409722219</v>
      </c>
      <c r="Q275" s="16" t="s">
        <v>1875</v>
      </c>
      <c r="R275" s="17" t="s">
        <v>1876</v>
      </c>
      <c r="S275" s="11"/>
      <c r="T275" s="11"/>
      <c r="U275" s="10" t="str">
        <f>HYPERLINK("https://pbs.twimg.com/profile_images/1021513025692618757/s4A5dmbg.jpg","View")</f>
        <v>View</v>
      </c>
    </row>
    <row r="276" spans="1:21" ht="51">
      <c r="A276" s="6">
        <v>43427.049513888887</v>
      </c>
      <c r="B276" s="7" t="str">
        <f>HYPERLINK("https://twitter.com/iusevillaciudad","@iusevillaciudad")</f>
        <v>@iusevillaciudad</v>
      </c>
      <c r="C276" s="8" t="s">
        <v>753</v>
      </c>
      <c r="D276" s="9" t="s">
        <v>754</v>
      </c>
      <c r="E276" s="10" t="str">
        <f>HYPERLINK("https://twitter.com/iusevillaciudad/status/1065895556390756352","1065895556390756352")</f>
        <v>1065895556390756352</v>
      </c>
      <c r="F276" s="14" t="s">
        <v>755</v>
      </c>
      <c r="G276" s="14" t="s">
        <v>758</v>
      </c>
      <c r="H276" s="11"/>
      <c r="I276" s="12">
        <v>7</v>
      </c>
      <c r="J276" s="12">
        <v>1</v>
      </c>
      <c r="K276" s="13" t="str">
        <f t="shared" si="46"/>
        <v>Twitter Web Client</v>
      </c>
      <c r="L276" s="12">
        <v>6653</v>
      </c>
      <c r="M276" s="12">
        <v>3212</v>
      </c>
      <c r="N276" s="12">
        <v>175</v>
      </c>
      <c r="O276" s="15"/>
      <c r="P276" s="6">
        <v>40056.205578703702</v>
      </c>
      <c r="Q276" s="16" t="s">
        <v>132</v>
      </c>
      <c r="R276" s="17" t="s">
        <v>760</v>
      </c>
      <c r="S276" s="14" t="s">
        <v>761</v>
      </c>
      <c r="T276" s="11"/>
      <c r="U276" s="10" t="str">
        <f>HYPERLINK("https://pbs.twimg.com/profile_images/1017089512449724416/AXwyMPON.jpg","View")</f>
        <v>View</v>
      </c>
    </row>
    <row r="277" spans="1:21" ht="20.399999999999999">
      <c r="A277" s="6">
        <v>43427.048726851848</v>
      </c>
      <c r="B277" s="7" t="str">
        <f>HYPERLINK("https://twitter.com/anacabs","@anacabs")</f>
        <v>@anacabs</v>
      </c>
      <c r="C277" s="8" t="s">
        <v>1880</v>
      </c>
      <c r="D277" s="9" t="s">
        <v>1410</v>
      </c>
      <c r="E277" s="10" t="str">
        <f>HYPERLINK("https://twitter.com/anacabs/status/1065895268720275456","1065895268720275456")</f>
        <v>1065895268720275456</v>
      </c>
      <c r="F277" s="14" t="s">
        <v>1411</v>
      </c>
      <c r="G277" s="11"/>
      <c r="H277" s="11"/>
      <c r="I277" s="12">
        <v>1</v>
      </c>
      <c r="J277" s="12">
        <v>0</v>
      </c>
      <c r="K277" s="13" t="str">
        <f>HYPERLINK("http://twitter.com/download/android","Twitter for Android")</f>
        <v>Twitter for Android</v>
      </c>
      <c r="L277" s="12">
        <v>2097</v>
      </c>
      <c r="M277" s="12">
        <v>1039</v>
      </c>
      <c r="N277" s="12">
        <v>71</v>
      </c>
      <c r="O277" s="15"/>
      <c r="P277" s="6">
        <v>40138.526018518518</v>
      </c>
      <c r="Q277" s="16" t="s">
        <v>1885</v>
      </c>
      <c r="R277" s="17" t="s">
        <v>1886</v>
      </c>
      <c r="S277" s="11"/>
      <c r="T277" s="11"/>
      <c r="U277" s="10" t="str">
        <f>HYPERLINK("https://pbs.twimg.com/profile_images/822468188030042113/AV3JwKrO.jpg","View")</f>
        <v>View</v>
      </c>
    </row>
    <row r="278" spans="1:21" ht="51">
      <c r="A278" s="6">
        <v>43427.048541666663</v>
      </c>
      <c r="B278" s="7" t="str">
        <f>HYPERLINK("https://twitter.com/virpb","@virpb")</f>
        <v>@virpb</v>
      </c>
      <c r="C278" s="8" t="s">
        <v>1760</v>
      </c>
      <c r="D278" s="9" t="s">
        <v>1887</v>
      </c>
      <c r="E278" s="10" t="str">
        <f>HYPERLINK("https://twitter.com/virpb/status/1065895201598771202","1065895201598771202")</f>
        <v>1065895201598771202</v>
      </c>
      <c r="F278" s="16" t="s">
        <v>1888</v>
      </c>
      <c r="G278" s="11"/>
      <c r="H278" s="11"/>
      <c r="I278" s="12">
        <v>1</v>
      </c>
      <c r="J278" s="12">
        <v>1</v>
      </c>
      <c r="K278" s="13" t="str">
        <f>HYPERLINK("http://twitter.com/download/iphone","Twitter for iPhone")</f>
        <v>Twitter for iPhone</v>
      </c>
      <c r="L278" s="12">
        <v>2980</v>
      </c>
      <c r="M278" s="12">
        <v>1067</v>
      </c>
      <c r="N278" s="12">
        <v>32</v>
      </c>
      <c r="O278" s="15"/>
      <c r="P278" s="6">
        <v>41231.366053240738</v>
      </c>
      <c r="Q278" s="16" t="s">
        <v>93</v>
      </c>
      <c r="R278" s="17" t="s">
        <v>1765</v>
      </c>
      <c r="S278" s="11"/>
      <c r="T278" s="11"/>
      <c r="U278" s="10" t="str">
        <f>HYPERLINK("https://pbs.twimg.com/profile_images/1000343511403778048/bmOTcuaV.jpg","View")</f>
        <v>View</v>
      </c>
    </row>
    <row r="279" spans="1:21" ht="51">
      <c r="A279" s="6">
        <v>43427.048344907409</v>
      </c>
      <c r="B279" s="7" t="str">
        <f>HYPERLINK("https://twitter.com/VHabsburgo","@VHabsburgo")</f>
        <v>@VHabsburgo</v>
      </c>
      <c r="C279" s="8" t="s">
        <v>1891</v>
      </c>
      <c r="D279" s="9" t="s">
        <v>1892</v>
      </c>
      <c r="E279" s="10" t="str">
        <f>HYPERLINK("https://twitter.com/VHabsburgo/status/1065895131520401409","1065895131520401409")</f>
        <v>1065895131520401409</v>
      </c>
      <c r="F279" s="14" t="s">
        <v>1895</v>
      </c>
      <c r="G279" s="14" t="s">
        <v>1896</v>
      </c>
      <c r="H279" s="11"/>
      <c r="I279" s="12">
        <v>0</v>
      </c>
      <c r="J279" s="12">
        <v>0</v>
      </c>
      <c r="K279" s="13" t="str">
        <f>HYPERLINK("http://twitter.com/download/android","Twitter for Android")</f>
        <v>Twitter for Android</v>
      </c>
      <c r="L279" s="12">
        <v>271</v>
      </c>
      <c r="M279" s="12">
        <v>518</v>
      </c>
      <c r="N279" s="12">
        <v>1</v>
      </c>
      <c r="O279" s="15"/>
      <c r="P279" s="6">
        <v>40724.606145833335</v>
      </c>
      <c r="Q279" s="16" t="s">
        <v>1897</v>
      </c>
      <c r="R279" s="17" t="s">
        <v>1898</v>
      </c>
      <c r="S279" s="11"/>
      <c r="T279" s="11"/>
      <c r="U279" s="10" t="str">
        <f>HYPERLINK("https://pbs.twimg.com/profile_images/1032406539385143296/Qvr6JD4m.jpg","View")</f>
        <v>View</v>
      </c>
    </row>
    <row r="280" spans="1:21" ht="30.6">
      <c r="A280" s="6">
        <v>43427.047210648147</v>
      </c>
      <c r="B280" s="7" t="str">
        <f>HYPERLINK("https://twitter.com/AguasNeutrales","@AguasNeutrales")</f>
        <v>@AguasNeutrales</v>
      </c>
      <c r="C280" s="8" t="s">
        <v>1901</v>
      </c>
      <c r="D280" s="9" t="s">
        <v>1902</v>
      </c>
      <c r="E280" s="10" t="str">
        <f>HYPERLINK("https://twitter.com/AguasNeutrales/status/1065894722948993026","1065894722948993026")</f>
        <v>1065894722948993026</v>
      </c>
      <c r="F280" s="14" t="s">
        <v>1904</v>
      </c>
      <c r="G280" s="14" t="s">
        <v>1905</v>
      </c>
      <c r="H280" s="11"/>
      <c r="I280" s="12">
        <v>0</v>
      </c>
      <c r="J280" s="12">
        <v>0</v>
      </c>
      <c r="K280" s="13" t="str">
        <f>HYPERLINK("http://twitter.com","Twitter Web Client")</f>
        <v>Twitter Web Client</v>
      </c>
      <c r="L280" s="12">
        <v>841</v>
      </c>
      <c r="M280" s="12">
        <v>2073</v>
      </c>
      <c r="N280" s="12">
        <v>5</v>
      </c>
      <c r="O280" s="15"/>
      <c r="P280" s="6">
        <v>41801.927615740744</v>
      </c>
      <c r="Q280" s="11"/>
      <c r="R280" s="17" t="s">
        <v>1908</v>
      </c>
      <c r="S280" s="11"/>
      <c r="T280" s="11"/>
      <c r="U280" s="10" t="str">
        <f>HYPERLINK("https://pbs.twimg.com/profile_images/1008462024282689536/Q3Z1dTgf.jpg","View")</f>
        <v>View</v>
      </c>
    </row>
    <row r="281" spans="1:21" ht="61.2">
      <c r="A281" s="6">
        <v>43427.046851851846</v>
      </c>
      <c r="B281" s="7" t="str">
        <f>HYPERLINK("https://twitter.com/Cmr1899","@Cmr1899")</f>
        <v>@Cmr1899</v>
      </c>
      <c r="C281" s="8" t="s">
        <v>765</v>
      </c>
      <c r="D281" s="9" t="s">
        <v>767</v>
      </c>
      <c r="E281" s="10" t="str">
        <f>HYPERLINK("https://twitter.com/Cmr1899/status/1065894592665522176","1065894592665522176")</f>
        <v>1065894592665522176</v>
      </c>
      <c r="F281" s="14" t="s">
        <v>769</v>
      </c>
      <c r="G281" s="11"/>
      <c r="H281" s="11"/>
      <c r="I281" s="12">
        <v>0</v>
      </c>
      <c r="J281" s="12">
        <v>0</v>
      </c>
      <c r="K281" s="13" t="str">
        <f>HYPERLINK("http://twitter.com/download/android","Twitter for Android")</f>
        <v>Twitter for Android</v>
      </c>
      <c r="L281" s="12">
        <v>3559</v>
      </c>
      <c r="M281" s="12">
        <v>301</v>
      </c>
      <c r="N281" s="12">
        <v>26</v>
      </c>
      <c r="O281" s="15"/>
      <c r="P281" s="6">
        <v>41551.403090277774</v>
      </c>
      <c r="Q281" s="11"/>
      <c r="R281" s="17" t="s">
        <v>770</v>
      </c>
      <c r="S281" s="11"/>
      <c r="T281" s="11"/>
      <c r="U281" s="10" t="str">
        <f>HYPERLINK("https://pbs.twimg.com/profile_images/1001147746596909056/DziUiLfC.jpg","View")</f>
        <v>View</v>
      </c>
    </row>
    <row r="282" spans="1:21" ht="30.6">
      <c r="A282" s="6">
        <v>43427.045034722221</v>
      </c>
      <c r="B282" s="7" t="str">
        <f>HYPERLINK("https://twitter.com/cuartopoder","@cuartopoder")</f>
        <v>@cuartopoder</v>
      </c>
      <c r="C282" s="22" t="s">
        <v>772</v>
      </c>
      <c r="D282" s="9" t="s">
        <v>773</v>
      </c>
      <c r="E282" s="10" t="str">
        <f>HYPERLINK("https://twitter.com/cuartopoder/status/1065893933778198528","1065893933778198528")</f>
        <v>1065893933778198528</v>
      </c>
      <c r="F282" s="14" t="s">
        <v>774</v>
      </c>
      <c r="G282" s="11"/>
      <c r="H282" s="11"/>
      <c r="I282" s="12">
        <v>3</v>
      </c>
      <c r="J282" s="12">
        <v>2</v>
      </c>
      <c r="K282" s="13" t="str">
        <f>HYPERLINK("https://about.twitter.com/products/tweetdeck","TweetDeck")</f>
        <v>TweetDeck</v>
      </c>
      <c r="L282" s="12">
        <v>53156</v>
      </c>
      <c r="M282" s="12">
        <v>879</v>
      </c>
      <c r="N282" s="12">
        <v>2355</v>
      </c>
      <c r="O282" s="15"/>
      <c r="P282" s="6">
        <v>39890.474108796298</v>
      </c>
      <c r="Q282" s="16" t="s">
        <v>93</v>
      </c>
      <c r="R282" s="17" t="s">
        <v>775</v>
      </c>
      <c r="S282" s="14" t="s">
        <v>776</v>
      </c>
      <c r="T282" s="11"/>
      <c r="U282" s="10" t="str">
        <f>HYPERLINK("https://pbs.twimg.com/profile_images/991918953978126336/Hz3kVoUk.jpg","View")</f>
        <v>View</v>
      </c>
    </row>
    <row r="283" spans="1:21" ht="51">
      <c r="A283" s="6">
        <v>43427.04478009259</v>
      </c>
      <c r="B283" s="7" t="str">
        <f>HYPERLINK("https://twitter.com/indpcom","@indpcom")</f>
        <v>@indpcom</v>
      </c>
      <c r="C283" s="8" t="s">
        <v>84</v>
      </c>
      <c r="D283" s="9" t="s">
        <v>1921</v>
      </c>
      <c r="E283" s="10" t="str">
        <f>HYPERLINK("https://twitter.com/indpcom/status/1065893840526209025","1065893840526209025")</f>
        <v>1065893840526209025</v>
      </c>
      <c r="F283" s="14" t="s">
        <v>1924</v>
      </c>
      <c r="G283" s="11"/>
      <c r="H283" s="11"/>
      <c r="I283" s="12">
        <v>1</v>
      </c>
      <c r="J283" s="12">
        <v>2</v>
      </c>
      <c r="K283" s="13" t="str">
        <f>HYPERLINK("http://twitter.com","Twitter Web Client")</f>
        <v>Twitter Web Client</v>
      </c>
      <c r="L283" s="12">
        <v>57678</v>
      </c>
      <c r="M283" s="12">
        <v>1302</v>
      </c>
      <c r="N283" s="12">
        <v>1097</v>
      </c>
      <c r="O283" s="18" t="s">
        <v>52</v>
      </c>
      <c r="P283" s="6">
        <v>42537.327719907407</v>
      </c>
      <c r="Q283" s="16" t="s">
        <v>87</v>
      </c>
      <c r="R283" s="17" t="s">
        <v>88</v>
      </c>
      <c r="S283" s="14" t="s">
        <v>89</v>
      </c>
      <c r="T283" s="11"/>
      <c r="U283" s="10" t="str">
        <f>HYPERLINK("https://pbs.twimg.com/profile_images/773807977069420544/o4tNI4zQ.jpg","View")</f>
        <v>View</v>
      </c>
    </row>
    <row r="284" spans="1:21" ht="20.399999999999999">
      <c r="A284" s="6">
        <v>43427.041666666672</v>
      </c>
      <c r="B284" s="7" t="str">
        <f>HYPERLINK("https://twitter.com/La_SER","@La_SER")</f>
        <v>@La_SER</v>
      </c>
      <c r="C284" s="8" t="s">
        <v>924</v>
      </c>
      <c r="D284" s="9" t="s">
        <v>1927</v>
      </c>
      <c r="E284" s="10" t="str">
        <f>HYPERLINK("https://twitter.com/La_SER/status/1065892713646551042","1065892713646551042")</f>
        <v>1065892713646551042</v>
      </c>
      <c r="F284" s="14" t="s">
        <v>781</v>
      </c>
      <c r="G284" s="14" t="s">
        <v>1930</v>
      </c>
      <c r="H284" s="11"/>
      <c r="I284" s="12">
        <v>1</v>
      </c>
      <c r="J284" s="12">
        <v>4</v>
      </c>
      <c r="K284" s="13" t="str">
        <f>HYPERLINK("https://about.twitter.com/products/tweetdeck","TweetDeck")</f>
        <v>TweetDeck</v>
      </c>
      <c r="L284" s="12">
        <v>1152494</v>
      </c>
      <c r="M284" s="12">
        <v>778</v>
      </c>
      <c r="N284" s="12">
        <v>10623</v>
      </c>
      <c r="O284" s="18" t="s">
        <v>52</v>
      </c>
      <c r="P284" s="6">
        <v>39965.379942129628</v>
      </c>
      <c r="Q284" s="11"/>
      <c r="R284" s="17" t="s">
        <v>948</v>
      </c>
      <c r="S284" s="14" t="s">
        <v>949</v>
      </c>
      <c r="T284" s="11"/>
      <c r="U284" s="10" t="str">
        <f>HYPERLINK("https://pbs.twimg.com/profile_images/1039929065774481409/zsYMDMZj.jpg","View")</f>
        <v>View</v>
      </c>
    </row>
    <row r="285" spans="1:21" ht="30.6">
      <c r="A285" s="6">
        <v>43427.040578703702</v>
      </c>
      <c r="B285" s="7" t="str">
        <f>HYPERLINK("https://twitter.com/TablasDigital","@TablasDigital")</f>
        <v>@TablasDigital</v>
      </c>
      <c r="C285" s="8" t="s">
        <v>1933</v>
      </c>
      <c r="D285" s="9" t="s">
        <v>1935</v>
      </c>
      <c r="E285" s="10" t="str">
        <f>HYPERLINK("https://twitter.com/TablasDigital/status/1065892317188493313","1065892317188493313")</f>
        <v>1065892317188493313</v>
      </c>
      <c r="F285" s="14" t="s">
        <v>1937</v>
      </c>
      <c r="G285" s="11"/>
      <c r="H285" s="11"/>
      <c r="I285" s="12">
        <v>0</v>
      </c>
      <c r="J285" s="12">
        <v>0</v>
      </c>
      <c r="K285" s="13" t="str">
        <f>HYPERLINK("http://twitter.com","Twitter Web Client")</f>
        <v>Twitter Web Client</v>
      </c>
      <c r="L285" s="12">
        <v>3989</v>
      </c>
      <c r="M285" s="12">
        <v>1797</v>
      </c>
      <c r="N285" s="12">
        <v>81</v>
      </c>
      <c r="O285" s="15"/>
      <c r="P285" s="6">
        <v>41225.042569444442</v>
      </c>
      <c r="Q285" s="16" t="s">
        <v>1939</v>
      </c>
      <c r="R285" s="17" t="s">
        <v>1940</v>
      </c>
      <c r="S285" s="14" t="s">
        <v>1941</v>
      </c>
      <c r="T285" s="11"/>
      <c r="U285" s="10" t="str">
        <f>HYPERLINK("https://pbs.twimg.com/profile_images/3423775949/040d2d083b434d8c03ba640378bc0f7b.png","View")</f>
        <v>View</v>
      </c>
    </row>
    <row r="286" spans="1:21" ht="20.399999999999999">
      <c r="A286" s="6">
        <v>43427.040312500001</v>
      </c>
      <c r="B286" s="7" t="str">
        <f>HYPERLINK("https://twitter.com/trabisdos","@trabisdos")</f>
        <v>@trabisdos</v>
      </c>
      <c r="C286" s="8" t="s">
        <v>1944</v>
      </c>
      <c r="D286" s="9" t="s">
        <v>369</v>
      </c>
      <c r="E286" s="10" t="str">
        <f>HYPERLINK("https://twitter.com/trabisdos/status/1065892221549981696","1065892221549981696")</f>
        <v>1065892221549981696</v>
      </c>
      <c r="F286" s="14" t="s">
        <v>371</v>
      </c>
      <c r="G286" s="11"/>
      <c r="H286" s="11"/>
      <c r="I286" s="12">
        <v>0</v>
      </c>
      <c r="J286" s="12">
        <v>0</v>
      </c>
      <c r="K286" s="13" t="str">
        <f>HYPERLINK("http://twitter.com/download/android","Twitter for Android")</f>
        <v>Twitter for Android</v>
      </c>
      <c r="L286" s="12">
        <v>123</v>
      </c>
      <c r="M286" s="12">
        <v>496</v>
      </c>
      <c r="N286" s="12">
        <v>7</v>
      </c>
      <c r="O286" s="15"/>
      <c r="P286" s="6">
        <v>40795.241979166669</v>
      </c>
      <c r="Q286" s="11"/>
      <c r="R286" s="19"/>
      <c r="S286" s="11"/>
      <c r="T286" s="11"/>
      <c r="U286" s="10" t="str">
        <f>HYPERLINK("https://pbs.twimg.com/profile_images/1535802292/foto_t_fb_pq_.jpg","View")</f>
        <v>View</v>
      </c>
    </row>
    <row r="287" spans="1:21" ht="40.799999999999997">
      <c r="A287" s="6">
        <v>43427.040300925924</v>
      </c>
      <c r="B287" s="7" t="str">
        <f>HYPERLINK("https://twitter.com/SER_Comunica","@SER_Comunica")</f>
        <v>@SER_Comunica</v>
      </c>
      <c r="C287" s="8" t="s">
        <v>779</v>
      </c>
      <c r="D287" s="9" t="s">
        <v>780</v>
      </c>
      <c r="E287" s="10" t="str">
        <f>HYPERLINK("https://twitter.com/SER_Comunica/status/1065892215367639040","1065892215367639040")</f>
        <v>1065892215367639040</v>
      </c>
      <c r="F287" s="14" t="s">
        <v>781</v>
      </c>
      <c r="G287" s="11"/>
      <c r="H287" s="11"/>
      <c r="I287" s="12">
        <v>0</v>
      </c>
      <c r="J287" s="12">
        <v>0</v>
      </c>
      <c r="K287" s="13" t="str">
        <f>HYPERLINK("http://twitter.com","Twitter Web Client")</f>
        <v>Twitter Web Client</v>
      </c>
      <c r="L287" s="12">
        <v>1699</v>
      </c>
      <c r="M287" s="12">
        <v>324</v>
      </c>
      <c r="N287" s="12">
        <v>34</v>
      </c>
      <c r="O287" s="15"/>
      <c r="P287" s="6">
        <v>41648.208101851851</v>
      </c>
      <c r="Q287" s="16" t="s">
        <v>28</v>
      </c>
      <c r="R287" s="17" t="s">
        <v>783</v>
      </c>
      <c r="S287" s="11"/>
      <c r="T287" s="11"/>
      <c r="U287" s="10" t="str">
        <f>HYPERLINK("https://pbs.twimg.com/profile_images/1048147172951293954/1Ga4FC_w.jpg","View")</f>
        <v>View</v>
      </c>
    </row>
    <row r="288" spans="1:21" ht="13.2">
      <c r="A288" s="6">
        <v>43427.040000000001</v>
      </c>
      <c r="B288" s="7" t="str">
        <f>HYPERLINK("https://twitter.com/aborto_bot","@aborto_bot")</f>
        <v>@aborto_bot</v>
      </c>
      <c r="C288" s="8" t="s">
        <v>1953</v>
      </c>
      <c r="D288" s="9" t="s">
        <v>1954</v>
      </c>
      <c r="E288" s="10" t="str">
        <f>HYPERLINK("https://twitter.com/aborto_bot/status/1065892107095805952","1065892107095805952")</f>
        <v>1065892107095805952</v>
      </c>
      <c r="F288" s="11"/>
      <c r="G288" s="11"/>
      <c r="H288" s="11"/>
      <c r="I288" s="12">
        <v>0</v>
      </c>
      <c r="J288" s="12">
        <v>0</v>
      </c>
      <c r="K288" s="13" t="str">
        <f>HYPERLINK("http://www.cuantocabron.com/","Botako")</f>
        <v>Botako</v>
      </c>
      <c r="L288" s="12">
        <v>10</v>
      </c>
      <c r="M288" s="12">
        <v>0</v>
      </c>
      <c r="N288" s="12">
        <v>0</v>
      </c>
      <c r="O288" s="15"/>
      <c r="P288" s="6">
        <v>42774.989583333328</v>
      </c>
      <c r="Q288" s="16" t="s">
        <v>1955</v>
      </c>
      <c r="R288" s="19"/>
      <c r="S288" s="11"/>
      <c r="T288" s="11"/>
      <c r="U288" s="10" t="str">
        <f>HYPERLINK("https://pbs.twimg.com/profile_images/829804125743353856/O0fXiOnl.jpg","View")</f>
        <v>View</v>
      </c>
    </row>
    <row r="289" spans="1:21" ht="51">
      <c r="A289" s="6">
        <v>43427.038587962961</v>
      </c>
      <c r="B289" s="7" t="str">
        <f>HYPERLINK("https://twitter.com/ahorapodemos","@ahorapodemos")</f>
        <v>@ahorapodemos</v>
      </c>
      <c r="C289" s="8" t="s">
        <v>48</v>
      </c>
      <c r="D289" s="9" t="s">
        <v>784</v>
      </c>
      <c r="E289" s="10" t="str">
        <f>HYPERLINK("https://twitter.com/ahorapodemos/status/1065891594900045825","1065891594900045825")</f>
        <v>1065891594900045825</v>
      </c>
      <c r="F289" s="11"/>
      <c r="G289" s="14" t="s">
        <v>386</v>
      </c>
      <c r="H289" s="11"/>
      <c r="I289" s="12">
        <v>52</v>
      </c>
      <c r="J289" s="12">
        <v>84</v>
      </c>
      <c r="K289" s="13" t="str">
        <f>HYPERLINK("https://studio.twitter.com","Media Studio")</f>
        <v>Media Studio</v>
      </c>
      <c r="L289" s="12">
        <v>1338988</v>
      </c>
      <c r="M289" s="12">
        <v>1529</v>
      </c>
      <c r="N289" s="12">
        <v>5654</v>
      </c>
      <c r="O289" s="18" t="s">
        <v>52</v>
      </c>
      <c r="P289" s="6">
        <v>41651.201979166668</v>
      </c>
      <c r="Q289" s="16" t="s">
        <v>54</v>
      </c>
      <c r="R289" s="17" t="s">
        <v>56</v>
      </c>
      <c r="S289" s="14" t="s">
        <v>58</v>
      </c>
      <c r="T289" s="11"/>
      <c r="U289" s="10" t="str">
        <f>HYPERLINK("https://pbs.twimg.com/profile_images/1036536413548892160/J0K-j7cz.jpg","View")</f>
        <v>View</v>
      </c>
    </row>
    <row r="290" spans="1:21" ht="20.399999999999999">
      <c r="A290" s="6">
        <v>43427.038240740745</v>
      </c>
      <c r="B290" s="7" t="str">
        <f>HYPERLINK("https://twitter.com/JGALLEGOonfire","@JGALLEGOonfire")</f>
        <v>@JGALLEGOonfire</v>
      </c>
      <c r="C290" s="8" t="s">
        <v>788</v>
      </c>
      <c r="D290" s="9" t="s">
        <v>789</v>
      </c>
      <c r="E290" s="10" t="str">
        <f>HYPERLINK("https://twitter.com/JGALLEGOonfire/status/1065891470903844864","1065891470903844864")</f>
        <v>1065891470903844864</v>
      </c>
      <c r="F290" s="14" t="s">
        <v>96</v>
      </c>
      <c r="G290" s="11"/>
      <c r="H290" s="11"/>
      <c r="I290" s="12">
        <v>0</v>
      </c>
      <c r="J290" s="12">
        <v>4</v>
      </c>
      <c r="K290" s="13" t="str">
        <f t="shared" ref="K290:K291" si="47">HYPERLINK("http://twitter.com/download/iphone","Twitter for iPhone")</f>
        <v>Twitter for iPhone</v>
      </c>
      <c r="L290" s="12">
        <v>55387</v>
      </c>
      <c r="M290" s="12">
        <v>297</v>
      </c>
      <c r="N290" s="12">
        <v>1239</v>
      </c>
      <c r="O290" s="18" t="s">
        <v>52</v>
      </c>
      <c r="P290" s="6">
        <v>40117.208541666667</v>
      </c>
      <c r="Q290" s="11"/>
      <c r="R290" s="17" t="s">
        <v>792</v>
      </c>
      <c r="S290" s="11"/>
      <c r="T290" s="11"/>
      <c r="U290" s="10" t="str">
        <f>HYPERLINK("https://pbs.twimg.com/profile_images/965844639268909056/k5TDQAwF.jpg","View")</f>
        <v>View</v>
      </c>
    </row>
    <row r="291" spans="1:21" ht="61.2">
      <c r="A291" s="6">
        <v>43427.036180555559</v>
      </c>
      <c r="B291" s="7" t="str">
        <f>HYPERLINK("https://twitter.com/PEPEROES1972","@PEPEROES1972")</f>
        <v>@PEPEROES1972</v>
      </c>
      <c r="C291" s="8" t="s">
        <v>793</v>
      </c>
      <c r="D291" s="9" t="s">
        <v>794</v>
      </c>
      <c r="E291" s="10" t="str">
        <f>HYPERLINK("https://twitter.com/PEPEROES1972/status/1065890725672480768","1065890725672480768")</f>
        <v>1065890725672480768</v>
      </c>
      <c r="F291" s="16" t="s">
        <v>795</v>
      </c>
      <c r="G291" s="11"/>
      <c r="H291" s="11"/>
      <c r="I291" s="12">
        <v>1</v>
      </c>
      <c r="J291" s="12">
        <v>1</v>
      </c>
      <c r="K291" s="13" t="str">
        <f t="shared" si="47"/>
        <v>Twitter for iPhone</v>
      </c>
      <c r="L291" s="12">
        <v>10546</v>
      </c>
      <c r="M291" s="12">
        <v>5026</v>
      </c>
      <c r="N291" s="12">
        <v>106</v>
      </c>
      <c r="O291" s="15"/>
      <c r="P291" s="6">
        <v>40456.195023148146</v>
      </c>
      <c r="Q291" s="16" t="s">
        <v>796</v>
      </c>
      <c r="R291" s="17" t="s">
        <v>798</v>
      </c>
      <c r="S291" s="11"/>
      <c r="T291" s="11"/>
      <c r="U291" s="10" t="str">
        <f>HYPERLINK("https://pbs.twimg.com/profile_images/1015133506677207041/WIe3CQ1b.jpg","View")</f>
        <v>View</v>
      </c>
    </row>
    <row r="292" spans="1:21" ht="51">
      <c r="A292" s="6">
        <v>43427.036145833335</v>
      </c>
      <c r="B292" s="7" t="str">
        <f>HYPERLINK("https://twitter.com/PercevalT","@PercevalT")</f>
        <v>@PercevalT</v>
      </c>
      <c r="C292" s="8" t="s">
        <v>801</v>
      </c>
      <c r="D292" s="9" t="s">
        <v>802</v>
      </c>
      <c r="E292" s="10" t="str">
        <f>HYPERLINK("https://twitter.com/PercevalT/status/1065890709432078336","1065890709432078336")</f>
        <v>1065890709432078336</v>
      </c>
      <c r="F292" s="11"/>
      <c r="G292" s="11"/>
      <c r="H292" s="11"/>
      <c r="I292" s="12">
        <v>1</v>
      </c>
      <c r="J292" s="12">
        <v>1</v>
      </c>
      <c r="K292" s="13" t="str">
        <f t="shared" ref="K292:K293" si="48">HYPERLINK("http://twitter.com/download/android","Twitter for Android")</f>
        <v>Twitter for Android</v>
      </c>
      <c r="L292" s="12">
        <v>832</v>
      </c>
      <c r="M292" s="12">
        <v>919</v>
      </c>
      <c r="N292" s="12">
        <v>13</v>
      </c>
      <c r="O292" s="15"/>
      <c r="P292" s="6">
        <v>40960.177175925928</v>
      </c>
      <c r="Q292" s="16" t="s">
        <v>805</v>
      </c>
      <c r="R292" s="17" t="s">
        <v>806</v>
      </c>
      <c r="S292" s="11"/>
      <c r="T292" s="11"/>
      <c r="U292" s="10" t="str">
        <f>HYPERLINK("https://pbs.twimg.com/profile_images/458996809998675968/QgAEKTq3.jpeg","View")</f>
        <v>View</v>
      </c>
    </row>
    <row r="293" spans="1:21" ht="40.799999999999997">
      <c r="A293" s="6">
        <v>43427.035937499997</v>
      </c>
      <c r="B293" s="7" t="str">
        <f>HYPERLINK("https://twitter.com/EliasGrima","@EliasGrima")</f>
        <v>@EliasGrima</v>
      </c>
      <c r="C293" s="8" t="s">
        <v>1972</v>
      </c>
      <c r="D293" s="9" t="s">
        <v>1973</v>
      </c>
      <c r="E293" s="10" t="str">
        <f>HYPERLINK("https://twitter.com/EliasGrima/status/1065890633682960386","1065890633682960386")</f>
        <v>1065890633682960386</v>
      </c>
      <c r="F293" s="14" t="s">
        <v>1976</v>
      </c>
      <c r="G293" s="11"/>
      <c r="H293" s="11"/>
      <c r="I293" s="12">
        <v>1</v>
      </c>
      <c r="J293" s="12">
        <v>6</v>
      </c>
      <c r="K293" s="13" t="str">
        <f t="shared" si="48"/>
        <v>Twitter for Android</v>
      </c>
      <c r="L293" s="12">
        <v>818</v>
      </c>
      <c r="M293" s="12">
        <v>201</v>
      </c>
      <c r="N293" s="12">
        <v>5</v>
      </c>
      <c r="O293" s="15"/>
      <c r="P293" s="6">
        <v>41176.631493055553</v>
      </c>
      <c r="Q293" s="16" t="s">
        <v>1980</v>
      </c>
      <c r="R293" s="17" t="s">
        <v>1981</v>
      </c>
      <c r="S293" s="14" t="s">
        <v>1982</v>
      </c>
      <c r="T293" s="11"/>
      <c r="U293" s="10" t="str">
        <f>HYPERLINK("https://pbs.twimg.com/profile_images/713277716414521344/8RNPQRQp.jpg","View")</f>
        <v>View</v>
      </c>
    </row>
    <row r="294" spans="1:21" ht="91.8">
      <c r="A294" s="6">
        <v>43427.035104166665</v>
      </c>
      <c r="B294" s="7" t="str">
        <f>HYPERLINK("https://twitter.com/VictoriAndres1","@VictoriAndres1")</f>
        <v>@VictoriAndres1</v>
      </c>
      <c r="C294" s="8" t="s">
        <v>33</v>
      </c>
      <c r="D294" s="9" t="s">
        <v>810</v>
      </c>
      <c r="E294" s="10" t="str">
        <f>HYPERLINK("https://twitter.com/VictoriAndres1/status/1065890332615819264","1065890332615819264")</f>
        <v>1065890332615819264</v>
      </c>
      <c r="F294" s="14" t="s">
        <v>813</v>
      </c>
      <c r="G294" s="14" t="s">
        <v>814</v>
      </c>
      <c r="H294" s="11"/>
      <c r="I294" s="12">
        <v>0</v>
      </c>
      <c r="J294" s="12">
        <v>0</v>
      </c>
      <c r="K294" s="13" t="str">
        <f>HYPERLINK("http://www.facebook.com/twitter","Facebook")</f>
        <v>Facebook</v>
      </c>
      <c r="L294" s="12">
        <v>196</v>
      </c>
      <c r="M294" s="12">
        <v>292</v>
      </c>
      <c r="N294" s="12">
        <v>1</v>
      </c>
      <c r="O294" s="15"/>
      <c r="P294" s="6">
        <v>40992.087916666671</v>
      </c>
      <c r="Q294" s="16" t="s">
        <v>38</v>
      </c>
      <c r="R294" s="17" t="s">
        <v>40</v>
      </c>
      <c r="S294" s="14" t="s">
        <v>41</v>
      </c>
      <c r="T294" s="11"/>
      <c r="U294" s="10" t="str">
        <f>HYPERLINK("https://pbs.twimg.com/profile_images/1018850373476454400/___hRpp7.jpg","View")</f>
        <v>View</v>
      </c>
    </row>
    <row r="295" spans="1:21" ht="51">
      <c r="A295" s="6">
        <v>43427.034548611111</v>
      </c>
      <c r="B295" s="7" t="str">
        <f>HYPERLINK("https://twitter.com/JaviBanuelos","@JaviBanuelos")</f>
        <v>@JaviBanuelos</v>
      </c>
      <c r="C295" s="8" t="s">
        <v>815</v>
      </c>
      <c r="D295" s="9" t="s">
        <v>816</v>
      </c>
      <c r="E295" s="10" t="str">
        <f>HYPERLINK("https://twitter.com/JaviBanuelos/status/1065890131524112385","1065890131524112385")</f>
        <v>1065890131524112385</v>
      </c>
      <c r="F295" s="11"/>
      <c r="G295" s="11"/>
      <c r="H295" s="11"/>
      <c r="I295" s="12">
        <v>1</v>
      </c>
      <c r="J295" s="12">
        <v>0</v>
      </c>
      <c r="K295" s="13" t="str">
        <f>HYPERLINK("http://twitter.com/download/android","Twitter for Android")</f>
        <v>Twitter for Android</v>
      </c>
      <c r="L295" s="12">
        <v>3299</v>
      </c>
      <c r="M295" s="12">
        <v>975</v>
      </c>
      <c r="N295" s="12">
        <v>112</v>
      </c>
      <c r="O295" s="15"/>
      <c r="P295" s="6">
        <v>40569.068877314814</v>
      </c>
      <c r="Q295" s="11"/>
      <c r="R295" s="17" t="s">
        <v>817</v>
      </c>
      <c r="S295" s="11"/>
      <c r="T295" s="11"/>
      <c r="U295" s="10" t="str">
        <f>HYPERLINK("https://pbs.twimg.com/profile_images/669456784843792384/SGXEKOiz.jpg","View")</f>
        <v>View</v>
      </c>
    </row>
    <row r="296" spans="1:21" ht="51">
      <c r="A296" s="6">
        <v>43427.034166666665</v>
      </c>
      <c r="B296" s="7" t="str">
        <f>HYPERLINK("https://twitter.com/AsCeTaCaChoNDo","@AsCeTaCaChoNDo")</f>
        <v>@AsCeTaCaChoNDo</v>
      </c>
      <c r="C296" s="8" t="s">
        <v>818</v>
      </c>
      <c r="D296" s="9" t="s">
        <v>819</v>
      </c>
      <c r="E296" s="10" t="str">
        <f>HYPERLINK("https://twitter.com/AsCeTaCaChoNDo/status/1065889995276337152","1065889995276337152")</f>
        <v>1065889995276337152</v>
      </c>
      <c r="F296" s="11"/>
      <c r="G296" s="14" t="s">
        <v>821</v>
      </c>
      <c r="H296" s="11"/>
      <c r="I296" s="12">
        <v>0</v>
      </c>
      <c r="J296" s="12">
        <v>0</v>
      </c>
      <c r="K296" s="13" t="str">
        <f>HYPERLINK("http://twitter.com","Twitter Web Client")</f>
        <v>Twitter Web Client</v>
      </c>
      <c r="L296" s="12">
        <v>32</v>
      </c>
      <c r="M296" s="12">
        <v>6</v>
      </c>
      <c r="N296" s="12">
        <v>1</v>
      </c>
      <c r="O296" s="15"/>
      <c r="P296" s="6">
        <v>42894.178159722222</v>
      </c>
      <c r="Q296" s="16" t="s">
        <v>822</v>
      </c>
      <c r="R296" s="17" t="s">
        <v>823</v>
      </c>
      <c r="S296" s="11"/>
      <c r="T296" s="11"/>
      <c r="U296" s="10" t="str">
        <f>HYPERLINK("https://pbs.twimg.com/profile_images/974912742632120320/9WrDhDqS.jpg","View")</f>
        <v>View</v>
      </c>
    </row>
    <row r="297" spans="1:21" ht="71.400000000000006">
      <c r="A297" s="6">
        <v>43427.033310185187</v>
      </c>
      <c r="B297" s="7" t="str">
        <f>HYPERLINK("https://twitter.com/J_Gonzalez_Ca","@J_Gonzalez_Ca")</f>
        <v>@J_Gonzalez_Ca</v>
      </c>
      <c r="C297" s="8" t="s">
        <v>2001</v>
      </c>
      <c r="D297" s="9" t="s">
        <v>2002</v>
      </c>
      <c r="E297" s="10" t="str">
        <f>HYPERLINK("https://twitter.com/J_Gonzalez_Ca/status/1065889683748634624","1065889683748634624")</f>
        <v>1065889683748634624</v>
      </c>
      <c r="F297" s="14" t="s">
        <v>2003</v>
      </c>
      <c r="G297" s="11"/>
      <c r="H297" s="11"/>
      <c r="I297" s="12">
        <v>0</v>
      </c>
      <c r="J297" s="12">
        <v>0</v>
      </c>
      <c r="K297" s="13" t="str">
        <f>HYPERLINK("http://twitter.com/download/iphone","Twitter for iPhone")</f>
        <v>Twitter for iPhone</v>
      </c>
      <c r="L297" s="12">
        <v>165</v>
      </c>
      <c r="M297" s="12">
        <v>419</v>
      </c>
      <c r="N297" s="12">
        <v>3</v>
      </c>
      <c r="O297" s="15"/>
      <c r="P297" s="6">
        <v>41336.06795138889</v>
      </c>
      <c r="Q297" s="16" t="s">
        <v>2006</v>
      </c>
      <c r="R297" s="17" t="s">
        <v>2007</v>
      </c>
      <c r="S297" s="11"/>
      <c r="T297" s="11"/>
      <c r="U297" s="10" t="str">
        <f>HYPERLINK("https://pbs.twimg.com/profile_images/3332308629/979eee489a001adf427ad901374700f6.jpeg","View")</f>
        <v>View</v>
      </c>
    </row>
    <row r="298" spans="1:21" ht="51">
      <c r="A298" s="6">
        <v>43427.033032407402</v>
      </c>
      <c r="B298" s="7" t="str">
        <f>HYPERLINK("https://twitter.com/ahorapodemos","@ahorapodemos")</f>
        <v>@ahorapodemos</v>
      </c>
      <c r="C298" s="8" t="s">
        <v>48</v>
      </c>
      <c r="D298" s="9" t="s">
        <v>826</v>
      </c>
      <c r="E298" s="10" t="str">
        <f>HYPERLINK("https://twitter.com/ahorapodemos/status/1065889583076913152","1065889583076913152")</f>
        <v>1065889583076913152</v>
      </c>
      <c r="F298" s="11"/>
      <c r="G298" s="14" t="s">
        <v>814</v>
      </c>
      <c r="H298" s="11"/>
      <c r="I298" s="12">
        <v>31</v>
      </c>
      <c r="J298" s="12">
        <v>34</v>
      </c>
      <c r="K298" s="13" t="str">
        <f>HYPERLINK("https://studio.twitter.com","Media Studio")</f>
        <v>Media Studio</v>
      </c>
      <c r="L298" s="12">
        <v>1338988</v>
      </c>
      <c r="M298" s="12">
        <v>1529</v>
      </c>
      <c r="N298" s="12">
        <v>5654</v>
      </c>
      <c r="O298" s="18" t="s">
        <v>52</v>
      </c>
      <c r="P298" s="6">
        <v>41651.201979166668</v>
      </c>
      <c r="Q298" s="16" t="s">
        <v>54</v>
      </c>
      <c r="R298" s="17" t="s">
        <v>56</v>
      </c>
      <c r="S298" s="14" t="s">
        <v>58</v>
      </c>
      <c r="T298" s="11"/>
      <c r="U298" s="10" t="str">
        <f>HYPERLINK("https://pbs.twimg.com/profile_images/1036536413548892160/J0K-j7cz.jpg","View")</f>
        <v>View</v>
      </c>
    </row>
    <row r="299" spans="1:21" ht="20.399999999999999">
      <c r="A299" s="6">
        <v>43427.032835648148</v>
      </c>
      <c r="B299" s="7" t="str">
        <f>HYPERLINK("https://twitter.com/periodistadigit","@periodistadigit")</f>
        <v>@periodistadigit</v>
      </c>
      <c r="C299" s="8" t="s">
        <v>2016</v>
      </c>
      <c r="D299" s="9" t="s">
        <v>2017</v>
      </c>
      <c r="E299" s="10" t="str">
        <f>HYPERLINK("https://twitter.com/periodistadigit/status/1065889512620998656","1065889512620998656")</f>
        <v>1065889512620998656</v>
      </c>
      <c r="F299" s="14" t="s">
        <v>2020</v>
      </c>
      <c r="G299" s="11"/>
      <c r="H299" s="11"/>
      <c r="I299" s="12">
        <v>2</v>
      </c>
      <c r="J299" s="12">
        <v>0</v>
      </c>
      <c r="K299" s="13" t="str">
        <f>HYPERLINK("http://twitter.com","Twitter Web Client")</f>
        <v>Twitter Web Client</v>
      </c>
      <c r="L299" s="12">
        <v>56096</v>
      </c>
      <c r="M299" s="12">
        <v>3790</v>
      </c>
      <c r="N299" s="12">
        <v>1471</v>
      </c>
      <c r="O299" s="18" t="s">
        <v>52</v>
      </c>
      <c r="P299" s="6">
        <v>40084.541296296295</v>
      </c>
      <c r="Q299" s="16" t="s">
        <v>38</v>
      </c>
      <c r="R299" s="17" t="s">
        <v>2023</v>
      </c>
      <c r="S299" s="14" t="s">
        <v>2024</v>
      </c>
      <c r="T299" s="11"/>
      <c r="U299" s="10" t="str">
        <f>HYPERLINK("https://pbs.twimg.com/profile_images/1913331873/periodista-digital.jpg","View")</f>
        <v>View</v>
      </c>
    </row>
    <row r="300" spans="1:21" ht="51">
      <c r="A300" s="6">
        <v>43427.032719907409</v>
      </c>
      <c r="B300" s="7" t="str">
        <f>HYPERLINK("https://twitter.com/raulolivan","@raulolivan")</f>
        <v>@raulolivan</v>
      </c>
      <c r="C300" s="8" t="s">
        <v>2028</v>
      </c>
      <c r="D300" s="9" t="s">
        <v>2029</v>
      </c>
      <c r="E300" s="10" t="str">
        <f>HYPERLINK("https://twitter.com/raulolivan/status/1065889471261040640","1065889471261040640")</f>
        <v>1065889471261040640</v>
      </c>
      <c r="F300" s="11"/>
      <c r="G300" s="14" t="s">
        <v>2031</v>
      </c>
      <c r="H300" s="11"/>
      <c r="I300" s="12">
        <v>2</v>
      </c>
      <c r="J300" s="12">
        <v>1</v>
      </c>
      <c r="K300" s="13" t="str">
        <f>HYPERLINK("http://twitter.com/download/iphone","Twitter for iPhone")</f>
        <v>Twitter for iPhone</v>
      </c>
      <c r="L300" s="12">
        <v>8088</v>
      </c>
      <c r="M300" s="12">
        <v>2950</v>
      </c>
      <c r="N300" s="12">
        <v>385</v>
      </c>
      <c r="O300" s="15"/>
      <c r="P300" s="6">
        <v>40430.023726851854</v>
      </c>
      <c r="Q300" s="16" t="s">
        <v>2032</v>
      </c>
      <c r="R300" s="17" t="s">
        <v>2033</v>
      </c>
      <c r="S300" s="14" t="s">
        <v>2034</v>
      </c>
      <c r="T300" s="11"/>
      <c r="U300" s="10" t="str">
        <f>HYPERLINK("https://pbs.twimg.com/profile_images/474199237841154048/23q-rkWX.jpeg","View")</f>
        <v>View</v>
      </c>
    </row>
    <row r="301" spans="1:21" ht="51">
      <c r="A301" s="6">
        <v>43427.030787037038</v>
      </c>
      <c r="B301" s="7" t="str">
        <f>HYPERLINK("https://twitter.com/Aguaazulverde","@Aguaazulverde")</f>
        <v>@Aguaazulverde</v>
      </c>
      <c r="C301" s="8" t="s">
        <v>2037</v>
      </c>
      <c r="D301" s="9" t="s">
        <v>2039</v>
      </c>
      <c r="E301" s="10" t="str">
        <f>HYPERLINK("https://twitter.com/Aguaazulverde/status/1065888769268682752","1065888769268682752")</f>
        <v>1065888769268682752</v>
      </c>
      <c r="F301" s="14" t="s">
        <v>2040</v>
      </c>
      <c r="G301" s="11"/>
      <c r="H301" s="11"/>
      <c r="I301" s="12">
        <v>0</v>
      </c>
      <c r="J301" s="12">
        <v>0</v>
      </c>
      <c r="K301" s="13" t="str">
        <f>HYPERLINK("http://twitter.com","Twitter Web Client")</f>
        <v>Twitter Web Client</v>
      </c>
      <c r="L301" s="12">
        <v>814</v>
      </c>
      <c r="M301" s="12">
        <v>2304</v>
      </c>
      <c r="N301" s="12">
        <v>18</v>
      </c>
      <c r="O301" s="15"/>
      <c r="P301" s="6">
        <v>40791.786458333336</v>
      </c>
      <c r="Q301" s="11"/>
      <c r="R301" s="17" t="s">
        <v>2043</v>
      </c>
      <c r="S301" s="11"/>
      <c r="T301" s="11"/>
      <c r="U301" s="10" t="str">
        <f>HYPERLINK("https://pbs.twimg.com/profile_images/2952648825/68bec14fafba1a25b8e8b4155e93f469.jpeg","View")</f>
        <v>View</v>
      </c>
    </row>
    <row r="302" spans="1:21" ht="51">
      <c r="A302" s="6">
        <v>43427.029479166667</v>
      </c>
      <c r="B302" s="7" t="str">
        <f>HYPERLINK("https://twitter.com/Dolors63","@Dolors63")</f>
        <v>@Dolors63</v>
      </c>
      <c r="C302" s="8" t="s">
        <v>827</v>
      </c>
      <c r="D302" s="9" t="s">
        <v>829</v>
      </c>
      <c r="E302" s="10" t="str">
        <f>HYPERLINK("https://twitter.com/Dolors63/status/1065888295303958529","1065888295303958529")</f>
        <v>1065888295303958529</v>
      </c>
      <c r="F302" s="14" t="s">
        <v>831</v>
      </c>
      <c r="G302" s="14" t="s">
        <v>832</v>
      </c>
      <c r="H302" s="11"/>
      <c r="I302" s="12">
        <v>0</v>
      </c>
      <c r="J302" s="12">
        <v>1</v>
      </c>
      <c r="K302" s="13" t="str">
        <f>HYPERLINK("http://twitter.com/download/android","Twitter for Android")</f>
        <v>Twitter for Android</v>
      </c>
      <c r="L302" s="12">
        <v>4918</v>
      </c>
      <c r="M302" s="12">
        <v>1432</v>
      </c>
      <c r="N302" s="12">
        <v>86</v>
      </c>
      <c r="O302" s="15"/>
      <c r="P302" s="6">
        <v>40227.471342592595</v>
      </c>
      <c r="Q302" s="16" t="s">
        <v>833</v>
      </c>
      <c r="R302" s="17" t="s">
        <v>835</v>
      </c>
      <c r="S302" s="11"/>
      <c r="T302" s="11"/>
      <c r="U302" s="10" t="str">
        <f>HYPERLINK("https://pbs.twimg.com/profile_images/1045352705391095808/Rv1DVYFR.jpg","View")</f>
        <v>View</v>
      </c>
    </row>
    <row r="303" spans="1:21" ht="30.6">
      <c r="A303" s="6">
        <v>43427.029016203705</v>
      </c>
      <c r="B303" s="7" t="str">
        <f>HYPERLINK("https://twitter.com/EstEsquivias","@EstEsquivias")</f>
        <v>@EstEsquivias</v>
      </c>
      <c r="C303" s="8" t="s">
        <v>836</v>
      </c>
      <c r="D303" s="9" t="s">
        <v>837</v>
      </c>
      <c r="E303" s="10" t="str">
        <f>HYPERLINK("https://twitter.com/EstEsquivias/status/1065888126344855552","1065888126344855552")</f>
        <v>1065888126344855552</v>
      </c>
      <c r="F303" s="11"/>
      <c r="G303" s="14" t="s">
        <v>840</v>
      </c>
      <c r="H303" s="11"/>
      <c r="I303" s="12">
        <v>0</v>
      </c>
      <c r="J303" s="12">
        <v>1</v>
      </c>
      <c r="K303" s="13" t="str">
        <f>HYPERLINK("http://twitter.com/#!/download/ipad","Twitter for iPad")</f>
        <v>Twitter for iPad</v>
      </c>
      <c r="L303" s="12">
        <v>795</v>
      </c>
      <c r="M303" s="12">
        <v>671</v>
      </c>
      <c r="N303" s="12">
        <v>6</v>
      </c>
      <c r="O303" s="15"/>
      <c r="P303" s="6">
        <v>41356.360775462963</v>
      </c>
      <c r="Q303" s="11"/>
      <c r="R303" s="17" t="s">
        <v>842</v>
      </c>
      <c r="S303" s="11"/>
      <c r="T303" s="11"/>
      <c r="U303" s="10" t="str">
        <f>HYPERLINK("https://pbs.twimg.com/profile_images/927143181849890817/hdMZfuKj.jpg","View")</f>
        <v>View</v>
      </c>
    </row>
    <row r="304" spans="1:21" ht="40.799999999999997">
      <c r="A304" s="6">
        <v>43427.028483796297</v>
      </c>
      <c r="B304" s="7" t="str">
        <f>HYPERLINK("https://twitter.com/emmacervino","@emmacervino")</f>
        <v>@emmacervino</v>
      </c>
      <c r="C304" s="8" t="s">
        <v>846</v>
      </c>
      <c r="D304" s="9" t="s">
        <v>847</v>
      </c>
      <c r="E304" s="10" t="str">
        <f>HYPERLINK("https://twitter.com/emmacervino/status/1065887933599817729","1065887933599817729")</f>
        <v>1065887933599817729</v>
      </c>
      <c r="F304" s="11"/>
      <c r="G304" s="11"/>
      <c r="H304" s="11"/>
      <c r="I304" s="12">
        <v>0</v>
      </c>
      <c r="J304" s="12">
        <v>0</v>
      </c>
      <c r="K304" s="13" t="str">
        <f t="shared" ref="K304:K305" si="49">HYPERLINK("http://twitter.com","Twitter Web Client")</f>
        <v>Twitter Web Client</v>
      </c>
      <c r="L304" s="12">
        <v>400</v>
      </c>
      <c r="M304" s="12">
        <v>782</v>
      </c>
      <c r="N304" s="12">
        <v>4</v>
      </c>
      <c r="O304" s="15"/>
      <c r="P304" s="6">
        <v>40683.142731481479</v>
      </c>
      <c r="Q304" s="16" t="s">
        <v>38</v>
      </c>
      <c r="R304" s="17" t="s">
        <v>848</v>
      </c>
      <c r="S304" s="11"/>
      <c r="T304" s="11"/>
      <c r="U304" s="10" t="str">
        <f>HYPERLINK("https://pbs.twimg.com/profile_images/968514943204110336/vn40HoOc.jpg","View")</f>
        <v>View</v>
      </c>
    </row>
    <row r="305" spans="1:21" ht="40.799999999999997">
      <c r="A305" s="6">
        <v>43427.028437500005</v>
      </c>
      <c r="B305" s="7" t="str">
        <f>HYPERLINK("https://twitter.com/futbolaragones","@futbolaragones")</f>
        <v>@futbolaragones</v>
      </c>
      <c r="C305" s="22" t="s">
        <v>2058</v>
      </c>
      <c r="D305" s="9" t="s">
        <v>2059</v>
      </c>
      <c r="E305" s="10" t="str">
        <f>HYPERLINK("https://twitter.com/futbolaragones/status/1065887919771140101","1065887919771140101")</f>
        <v>1065887919771140101</v>
      </c>
      <c r="F305" s="14" t="s">
        <v>2062</v>
      </c>
      <c r="G305" s="11"/>
      <c r="H305" s="11"/>
      <c r="I305" s="12">
        <v>0</v>
      </c>
      <c r="J305" s="12">
        <v>0</v>
      </c>
      <c r="K305" s="13" t="str">
        <f t="shared" si="49"/>
        <v>Twitter Web Client</v>
      </c>
      <c r="L305" s="12">
        <v>9979</v>
      </c>
      <c r="M305" s="12">
        <v>4640</v>
      </c>
      <c r="N305" s="12">
        <v>108</v>
      </c>
      <c r="O305" s="15"/>
      <c r="P305" s="6">
        <v>40019.410613425927</v>
      </c>
      <c r="Q305" s="16" t="s">
        <v>2064</v>
      </c>
      <c r="R305" s="17" t="s">
        <v>2066</v>
      </c>
      <c r="S305" s="14" t="s">
        <v>2067</v>
      </c>
      <c r="T305" s="11"/>
      <c r="U305" s="10" t="str">
        <f>HYPERLINK("https://pbs.twimg.com/profile_images/974058549713260544/KY6KZaT3.jpg","View")</f>
        <v>View</v>
      </c>
    </row>
    <row r="306" spans="1:21" ht="51">
      <c r="A306" s="6">
        <v>43427.028067129635</v>
      </c>
      <c r="B306" s="7" t="str">
        <f>HYPERLINK("https://twitter.com/Francis98204014","@Francis98204014")</f>
        <v>@Francis98204014</v>
      </c>
      <c r="C306" s="8" t="s">
        <v>2070</v>
      </c>
      <c r="D306" s="9" t="s">
        <v>2071</v>
      </c>
      <c r="E306" s="10" t="str">
        <f>HYPERLINK("https://twitter.com/Francis98204014/status/1065887782206390272","1065887782206390272")</f>
        <v>1065887782206390272</v>
      </c>
      <c r="F306" s="11"/>
      <c r="G306" s="11"/>
      <c r="H306" s="11"/>
      <c r="I306" s="12">
        <v>0</v>
      </c>
      <c r="J306" s="12">
        <v>2</v>
      </c>
      <c r="K306" s="13" t="str">
        <f>HYPERLINK("http://twitter.com/download/android","Twitter for Android")</f>
        <v>Twitter for Android</v>
      </c>
      <c r="L306" s="12">
        <v>5425</v>
      </c>
      <c r="M306" s="12">
        <v>5160</v>
      </c>
      <c r="N306" s="12">
        <v>80</v>
      </c>
      <c r="O306" s="15"/>
      <c r="P306" s="6">
        <v>42023.604328703703</v>
      </c>
      <c r="Q306" s="11"/>
      <c r="R306" s="19"/>
      <c r="S306" s="11"/>
      <c r="T306" s="11"/>
      <c r="U306" s="10" t="str">
        <f>HYPERLINK("https://pbs.twimg.com/profile_images/557305420625502208/DgZmRbYl.jpeg","View")</f>
        <v>View</v>
      </c>
    </row>
    <row r="307" spans="1:21" ht="51">
      <c r="A307" s="6">
        <v>43427.027835648143</v>
      </c>
      <c r="B307" s="7" t="str">
        <f>HYPERLINK("https://twitter.com/Ursulaok","@Ursulaok")</f>
        <v>@Ursulaok</v>
      </c>
      <c r="C307" s="8" t="s">
        <v>849</v>
      </c>
      <c r="D307" s="9" t="s">
        <v>850</v>
      </c>
      <c r="E307" s="10" t="str">
        <f>HYPERLINK("https://twitter.com/Ursulaok/status/1065887699679236098","1065887699679236098")</f>
        <v>1065887699679236098</v>
      </c>
      <c r="F307" s="14" t="s">
        <v>529</v>
      </c>
      <c r="G307" s="11"/>
      <c r="H307" s="11"/>
      <c r="I307" s="12">
        <v>0</v>
      </c>
      <c r="J307" s="12">
        <v>0</v>
      </c>
      <c r="K307" s="13" t="str">
        <f>HYPERLINK("http://twitter.com","Twitter Web Client")</f>
        <v>Twitter Web Client</v>
      </c>
      <c r="L307" s="12">
        <v>532</v>
      </c>
      <c r="M307" s="12">
        <v>983</v>
      </c>
      <c r="N307" s="12">
        <v>24</v>
      </c>
      <c r="O307" s="15"/>
      <c r="P307" s="6">
        <v>39912.425520833334</v>
      </c>
      <c r="Q307" s="11"/>
      <c r="R307" s="17" t="s">
        <v>851</v>
      </c>
      <c r="S307" s="14" t="s">
        <v>852</v>
      </c>
      <c r="T307" s="11"/>
      <c r="U307" s="10" t="str">
        <f>HYPERLINK("https://pbs.twimg.com/profile_images/1035889412645838854/7aszEvdi.jpg","View")</f>
        <v>View</v>
      </c>
    </row>
    <row r="308" spans="1:21" ht="81.599999999999994">
      <c r="A308" s="6">
        <v>43427.027719907404</v>
      </c>
      <c r="B308" s="7" t="str">
        <f t="shared" ref="B308:B309" si="50">HYPERLINK("https://twitter.com/VictoriAndres1","@VictoriAndres1")</f>
        <v>@VictoriAndres1</v>
      </c>
      <c r="C308" s="8" t="s">
        <v>33</v>
      </c>
      <c r="D308" s="9" t="s">
        <v>855</v>
      </c>
      <c r="E308" s="10" t="str">
        <f>HYPERLINK("https://twitter.com/VictoriAndres1/status/1065887657652379649","1065887657652379649")</f>
        <v>1065887657652379649</v>
      </c>
      <c r="F308" s="14" t="s">
        <v>722</v>
      </c>
      <c r="G308" s="14" t="s">
        <v>723</v>
      </c>
      <c r="H308" s="11"/>
      <c r="I308" s="12">
        <v>2</v>
      </c>
      <c r="J308" s="12">
        <v>0</v>
      </c>
      <c r="K308" s="13" t="str">
        <f t="shared" ref="K308:K309" si="51">HYPERLINK("http://www.facebook.com/twitter","Facebook")</f>
        <v>Facebook</v>
      </c>
      <c r="L308" s="12">
        <v>196</v>
      </c>
      <c r="M308" s="12">
        <v>292</v>
      </c>
      <c r="N308" s="12">
        <v>1</v>
      </c>
      <c r="O308" s="15"/>
      <c r="P308" s="6">
        <v>40992.087916666671</v>
      </c>
      <c r="Q308" s="16" t="s">
        <v>38</v>
      </c>
      <c r="R308" s="17" t="s">
        <v>40</v>
      </c>
      <c r="S308" s="14" t="s">
        <v>41</v>
      </c>
      <c r="T308" s="11"/>
      <c r="U308" s="10" t="str">
        <f t="shared" ref="U308:U309" si="52">HYPERLINK("https://pbs.twimg.com/profile_images/1018850373476454400/___hRpp7.jpg","View")</f>
        <v>View</v>
      </c>
    </row>
    <row r="309" spans="1:21" ht="91.8">
      <c r="A309" s="6">
        <v>43427.026874999996</v>
      </c>
      <c r="B309" s="7" t="str">
        <f t="shared" si="50"/>
        <v>@VictoriAndres1</v>
      </c>
      <c r="C309" s="8" t="s">
        <v>33</v>
      </c>
      <c r="D309" s="9" t="s">
        <v>860</v>
      </c>
      <c r="E309" s="10" t="str">
        <f>HYPERLINK("https://twitter.com/VictoriAndres1/status/1065887351094870016","1065887351094870016")</f>
        <v>1065887351094870016</v>
      </c>
      <c r="F309" s="14" t="s">
        <v>861</v>
      </c>
      <c r="G309" s="14" t="s">
        <v>862</v>
      </c>
      <c r="H309" s="11"/>
      <c r="I309" s="12">
        <v>2</v>
      </c>
      <c r="J309" s="12">
        <v>1</v>
      </c>
      <c r="K309" s="13" t="str">
        <f t="shared" si="51"/>
        <v>Facebook</v>
      </c>
      <c r="L309" s="12">
        <v>196</v>
      </c>
      <c r="M309" s="12">
        <v>292</v>
      </c>
      <c r="N309" s="12">
        <v>1</v>
      </c>
      <c r="O309" s="15"/>
      <c r="P309" s="6">
        <v>40992.087916666671</v>
      </c>
      <c r="Q309" s="16" t="s">
        <v>38</v>
      </c>
      <c r="R309" s="17" t="s">
        <v>40</v>
      </c>
      <c r="S309" s="14" t="s">
        <v>41</v>
      </c>
      <c r="T309" s="11"/>
      <c r="U309" s="10" t="str">
        <f t="shared" si="52"/>
        <v>View</v>
      </c>
    </row>
    <row r="310" spans="1:21" ht="51">
      <c r="A310" s="6">
        <v>43427.026458333334</v>
      </c>
      <c r="B310" s="7" t="str">
        <f>HYPERLINK("https://twitter.com/joanlluis","@joanlluis")</f>
        <v>@joanlluis</v>
      </c>
      <c r="C310" s="8" t="s">
        <v>863</v>
      </c>
      <c r="D310" s="9" t="s">
        <v>864</v>
      </c>
      <c r="E310" s="10" t="str">
        <f>HYPERLINK("https://twitter.com/joanlluis/status/1065887201031061504","1065887201031061504")</f>
        <v>1065887201031061504</v>
      </c>
      <c r="F310" s="11"/>
      <c r="G310" s="11"/>
      <c r="H310" s="11"/>
      <c r="I310" s="12">
        <v>0</v>
      </c>
      <c r="J310" s="12">
        <v>0</v>
      </c>
      <c r="K310" s="13" t="str">
        <f>HYPERLINK("http://twitter.com/#!/download/ipad","Twitter for iPad")</f>
        <v>Twitter for iPad</v>
      </c>
      <c r="L310" s="12">
        <v>1067</v>
      </c>
      <c r="M310" s="12">
        <v>2052</v>
      </c>
      <c r="N310" s="12">
        <v>25</v>
      </c>
      <c r="O310" s="15"/>
      <c r="P310" s="6">
        <v>39929.151296296295</v>
      </c>
      <c r="Q310" s="16" t="s">
        <v>866</v>
      </c>
      <c r="R310" s="17" t="s">
        <v>867</v>
      </c>
      <c r="S310" s="14" t="s">
        <v>868</v>
      </c>
      <c r="T310" s="11"/>
      <c r="U310" s="10" t="str">
        <f>HYPERLINK("https://pbs.twimg.com/profile_images/1011016777772519425/D56tjl6Z.jpg","View")</f>
        <v>View</v>
      </c>
    </row>
    <row r="311" spans="1:21" ht="20.399999999999999">
      <c r="A311" s="6">
        <v>43427.025949074072</v>
      </c>
      <c r="B311" s="7" t="str">
        <f>HYPERLINK("https://twitter.com/Joelmarbcn","@Joelmarbcn")</f>
        <v>@Joelmarbcn</v>
      </c>
      <c r="C311" s="8" t="s">
        <v>871</v>
      </c>
      <c r="D311" s="9" t="s">
        <v>872</v>
      </c>
      <c r="E311" s="10" t="str">
        <f>HYPERLINK("https://twitter.com/Joelmarbcn/status/1065887015663779840","1065887015663779840")</f>
        <v>1065887015663779840</v>
      </c>
      <c r="F311" s="14" t="s">
        <v>873</v>
      </c>
      <c r="G311" s="14" t="s">
        <v>874</v>
      </c>
      <c r="H311" s="11"/>
      <c r="I311" s="12">
        <v>0</v>
      </c>
      <c r="J311" s="12">
        <v>2</v>
      </c>
      <c r="K311" s="13" t="str">
        <f>HYPERLINK("http://twitter.com/download/android","Twitter for Android")</f>
        <v>Twitter for Android</v>
      </c>
      <c r="L311" s="12">
        <v>18</v>
      </c>
      <c r="M311" s="12">
        <v>35</v>
      </c>
      <c r="N311" s="12">
        <v>0</v>
      </c>
      <c r="O311" s="15"/>
      <c r="P311" s="6">
        <v>43330.08556712963</v>
      </c>
      <c r="Q311" s="11"/>
      <c r="R311" s="17" t="s">
        <v>875</v>
      </c>
      <c r="S311" s="11"/>
      <c r="T311" s="11"/>
      <c r="U311" s="10" t="str">
        <f>HYPERLINK("https://pbs.twimg.com/profile_images/1030743376486957056/ENQo6yKx.jpg","View")</f>
        <v>View</v>
      </c>
    </row>
    <row r="312" spans="1:21" ht="40.799999999999997">
      <c r="A312" s="6">
        <v>43427.025451388894</v>
      </c>
      <c r="B312" s="7" t="str">
        <f>HYPERLINK("https://twitter.com/ahorapodemos","@ahorapodemos")</f>
        <v>@ahorapodemos</v>
      </c>
      <c r="C312" s="8" t="s">
        <v>48</v>
      </c>
      <c r="D312" s="9" t="s">
        <v>876</v>
      </c>
      <c r="E312" s="10" t="str">
        <f>HYPERLINK("https://twitter.com/ahorapodemos/status/1065886837078720512","1065886837078720512")</f>
        <v>1065886837078720512</v>
      </c>
      <c r="F312" s="11"/>
      <c r="G312" s="14" t="s">
        <v>723</v>
      </c>
      <c r="H312" s="11"/>
      <c r="I312" s="12">
        <v>69</v>
      </c>
      <c r="J312" s="12">
        <v>109</v>
      </c>
      <c r="K312" s="13" t="str">
        <f>HYPERLINK("http://twitter.com","Twitter Web Client")</f>
        <v>Twitter Web Client</v>
      </c>
      <c r="L312" s="12">
        <v>1338988</v>
      </c>
      <c r="M312" s="12">
        <v>1529</v>
      </c>
      <c r="N312" s="12">
        <v>5654</v>
      </c>
      <c r="O312" s="18" t="s">
        <v>52</v>
      </c>
      <c r="P312" s="6">
        <v>41651.201979166668</v>
      </c>
      <c r="Q312" s="16" t="s">
        <v>54</v>
      </c>
      <c r="R312" s="17" t="s">
        <v>56</v>
      </c>
      <c r="S312" s="14" t="s">
        <v>58</v>
      </c>
      <c r="T312" s="11"/>
      <c r="U312" s="10" t="str">
        <f>HYPERLINK("https://pbs.twimg.com/profile_images/1036536413548892160/J0K-j7cz.jpg","View")</f>
        <v>View</v>
      </c>
    </row>
    <row r="313" spans="1:21" ht="30.6">
      <c r="A313" s="6">
        <v>43427.024363425924</v>
      </c>
      <c r="B313" s="7" t="str">
        <f>HYPERLINK("https://twitter.com/lavosqui","@lavosqui")</f>
        <v>@lavosqui</v>
      </c>
      <c r="C313" s="8" t="s">
        <v>2095</v>
      </c>
      <c r="D313" s="9" t="s">
        <v>2096</v>
      </c>
      <c r="E313" s="10" t="str">
        <f>HYPERLINK("https://twitter.com/lavosqui/status/1065886440591171590","1065886440591171590")</f>
        <v>1065886440591171590</v>
      </c>
      <c r="F313" s="11"/>
      <c r="G313" s="11"/>
      <c r="H313" s="11"/>
      <c r="I313" s="12">
        <v>0</v>
      </c>
      <c r="J313" s="12">
        <v>1</v>
      </c>
      <c r="K313" s="13" t="str">
        <f>HYPERLINK("http://twitter.com/download/android","Twitter for Android")</f>
        <v>Twitter for Android</v>
      </c>
      <c r="L313" s="12">
        <v>1079</v>
      </c>
      <c r="M313" s="12">
        <v>511</v>
      </c>
      <c r="N313" s="12">
        <v>62</v>
      </c>
      <c r="O313" s="15"/>
      <c r="P313" s="6">
        <v>41893.656377314815</v>
      </c>
      <c r="Q313" s="11"/>
      <c r="R313" s="17" t="s">
        <v>2098</v>
      </c>
      <c r="S313" s="11"/>
      <c r="T313" s="11"/>
      <c r="U313" s="10" t="str">
        <f>HYPERLINK("https://pbs.twimg.com/profile_images/763836959307554817/bmc497TL.jpg","View")</f>
        <v>View</v>
      </c>
    </row>
    <row r="314" spans="1:21" ht="51">
      <c r="A314" s="6">
        <v>43427.023842592593</v>
      </c>
      <c r="B314" s="7" t="str">
        <f>HYPERLINK("https://twitter.com/juanmarcosvg","@juanmarcosvg")</f>
        <v>@juanmarcosvg</v>
      </c>
      <c r="C314" s="8" t="s">
        <v>2101</v>
      </c>
      <c r="D314" s="9" t="s">
        <v>2102</v>
      </c>
      <c r="E314" s="10" t="str">
        <f>HYPERLINK("https://twitter.com/juanmarcosvg/status/1065886250673074176","1065886250673074176")</f>
        <v>1065886250673074176</v>
      </c>
      <c r="F314" s="14" t="s">
        <v>2103</v>
      </c>
      <c r="G314" s="11"/>
      <c r="H314" s="11"/>
      <c r="I314" s="12">
        <v>0</v>
      </c>
      <c r="J314" s="12">
        <v>0</v>
      </c>
      <c r="K314" s="13" t="str">
        <f t="shared" ref="K314:K316" si="53">HYPERLINK("http://twitter.com","Twitter Web Client")</f>
        <v>Twitter Web Client</v>
      </c>
      <c r="L314" s="12">
        <v>674</v>
      </c>
      <c r="M314" s="12">
        <v>656</v>
      </c>
      <c r="N314" s="12">
        <v>24</v>
      </c>
      <c r="O314" s="15"/>
      <c r="P314" s="6">
        <v>41297.480324074073</v>
      </c>
      <c r="Q314" s="16" t="s">
        <v>2104</v>
      </c>
      <c r="R314" s="17" t="s">
        <v>2106</v>
      </c>
      <c r="S314" s="14" t="s">
        <v>2107</v>
      </c>
      <c r="T314" s="11"/>
      <c r="U314" s="10" t="str">
        <f>HYPERLINK("https://pbs.twimg.com/profile_images/968763301353197575/UIBu8nlI.jpg","View")</f>
        <v>View</v>
      </c>
    </row>
    <row r="315" spans="1:21" ht="40.799999999999997">
      <c r="A315" s="6">
        <v>43427.023541666669</v>
      </c>
      <c r="B315" s="7" t="str">
        <f>HYPERLINK("https://twitter.com/Armunho","@Armunho")</f>
        <v>@Armunho</v>
      </c>
      <c r="C315" s="8" t="s">
        <v>2108</v>
      </c>
      <c r="D315" s="9" t="s">
        <v>2109</v>
      </c>
      <c r="E315" s="10" t="str">
        <f>HYPERLINK("https://twitter.com/Armunho/status/1065886144733347841","1065886144733347841")</f>
        <v>1065886144733347841</v>
      </c>
      <c r="F315" s="16" t="s">
        <v>2112</v>
      </c>
      <c r="G315" s="11"/>
      <c r="H315" s="11"/>
      <c r="I315" s="12">
        <v>1</v>
      </c>
      <c r="J315" s="12">
        <v>10</v>
      </c>
      <c r="K315" s="13" t="str">
        <f t="shared" si="53"/>
        <v>Twitter Web Client</v>
      </c>
      <c r="L315" s="12">
        <v>4740</v>
      </c>
      <c r="M315" s="12">
        <v>502</v>
      </c>
      <c r="N315" s="12">
        <v>117</v>
      </c>
      <c r="O315" s="15"/>
      <c r="P315" s="6">
        <v>40539.731111111112</v>
      </c>
      <c r="Q315" s="16" t="s">
        <v>762</v>
      </c>
      <c r="R315" s="17" t="s">
        <v>2113</v>
      </c>
      <c r="S315" s="11"/>
      <c r="T315" s="11"/>
      <c r="U315" s="10" t="str">
        <f>HYPERLINK("https://pbs.twimg.com/profile_images/1060423339523670016/O7nBm2DF.jpg","View")</f>
        <v>View</v>
      </c>
    </row>
    <row r="316" spans="1:21" ht="20.399999999999999">
      <c r="A316" s="6">
        <v>43427.023402777777</v>
      </c>
      <c r="B316" s="7" t="str">
        <f>HYPERLINK("https://twitter.com/PezAntonio","@PezAntonio")</f>
        <v>@PezAntonio</v>
      </c>
      <c r="C316" s="8" t="s">
        <v>2115</v>
      </c>
      <c r="D316" s="9" t="s">
        <v>2116</v>
      </c>
      <c r="E316" s="10" t="str">
        <f>HYPERLINK("https://twitter.com/PezAntonio/status/1065886093072060417","1065886093072060417")</f>
        <v>1065886093072060417</v>
      </c>
      <c r="F316" s="14" t="s">
        <v>2118</v>
      </c>
      <c r="G316" s="11"/>
      <c r="H316" s="11"/>
      <c r="I316" s="12">
        <v>0</v>
      </c>
      <c r="J316" s="12">
        <v>0</v>
      </c>
      <c r="K316" s="13" t="str">
        <f t="shared" si="53"/>
        <v>Twitter Web Client</v>
      </c>
      <c r="L316" s="12">
        <v>532</v>
      </c>
      <c r="M316" s="12">
        <v>693</v>
      </c>
      <c r="N316" s="12">
        <v>11</v>
      </c>
      <c r="O316" s="15"/>
      <c r="P316" s="6">
        <v>40627.066574074073</v>
      </c>
      <c r="Q316" s="11"/>
      <c r="R316" s="17" t="s">
        <v>2119</v>
      </c>
      <c r="S316" s="11"/>
      <c r="T316" s="11"/>
      <c r="U316" s="10" t="str">
        <f>HYPERLINK("https://pbs.twimg.com/profile_images/986910450632753152/sQa6sb7c.jpg","View")</f>
        <v>View</v>
      </c>
    </row>
    <row r="317" spans="1:21" ht="30.6">
      <c r="A317" s="6">
        <v>43427.022557870368</v>
      </c>
      <c r="B317" s="7" t="str">
        <f>HYPERLINK("https://twitter.com/La_SER","@La_SER")</f>
        <v>@La_SER</v>
      </c>
      <c r="C317" s="8" t="s">
        <v>924</v>
      </c>
      <c r="D317" s="9" t="s">
        <v>2123</v>
      </c>
      <c r="E317" s="10" t="str">
        <f>HYPERLINK("https://twitter.com/La_SER/status/1065885787324002304","1065885787324002304")</f>
        <v>1065885787324002304</v>
      </c>
      <c r="F317" s="14" t="s">
        <v>781</v>
      </c>
      <c r="G317" s="14" t="s">
        <v>2125</v>
      </c>
      <c r="H317" s="11"/>
      <c r="I317" s="12">
        <v>1</v>
      </c>
      <c r="J317" s="12">
        <v>3</v>
      </c>
      <c r="K317" s="13" t="str">
        <f>HYPERLINK("http://snappytv.com","SnappyTV.com")</f>
        <v>SnappyTV.com</v>
      </c>
      <c r="L317" s="12">
        <v>1152494</v>
      </c>
      <c r="M317" s="12">
        <v>778</v>
      </c>
      <c r="N317" s="12">
        <v>10623</v>
      </c>
      <c r="O317" s="18" t="s">
        <v>52</v>
      </c>
      <c r="P317" s="6">
        <v>39965.379942129628</v>
      </c>
      <c r="Q317" s="11"/>
      <c r="R317" s="17" t="s">
        <v>948</v>
      </c>
      <c r="S317" s="14" t="s">
        <v>949</v>
      </c>
      <c r="T317" s="11"/>
      <c r="U317" s="10" t="str">
        <f>HYPERLINK("https://pbs.twimg.com/profile_images/1039929065774481409/zsYMDMZj.jpg","View")</f>
        <v>View</v>
      </c>
    </row>
    <row r="318" spans="1:21" ht="20.399999999999999">
      <c r="A318" s="6">
        <v>43427.022164351853</v>
      </c>
      <c r="B318" s="7" t="str">
        <f>HYPERLINK("https://twitter.com/YlosBeatles","@YlosBeatles")</f>
        <v>@YlosBeatles</v>
      </c>
      <c r="C318" s="8" t="s">
        <v>877</v>
      </c>
      <c r="D318" s="9" t="s">
        <v>878</v>
      </c>
      <c r="E318" s="10" t="str">
        <f>HYPERLINK("https://twitter.com/YlosBeatles/status/1065885645195878400","1065885645195878400")</f>
        <v>1065885645195878400</v>
      </c>
      <c r="F318" s="14" t="s">
        <v>879</v>
      </c>
      <c r="G318" s="11"/>
      <c r="H318" s="11"/>
      <c r="I318" s="12">
        <v>0</v>
      </c>
      <c r="J318" s="12">
        <v>0</v>
      </c>
      <c r="K318" s="13" t="str">
        <f t="shared" ref="K318:K319" si="54">HYPERLINK("http://twitter.com","Twitter Web Client")</f>
        <v>Twitter Web Client</v>
      </c>
      <c r="L318" s="12">
        <v>455</v>
      </c>
      <c r="M318" s="12">
        <v>213</v>
      </c>
      <c r="N318" s="12">
        <v>7</v>
      </c>
      <c r="O318" s="15"/>
      <c r="P318" s="6">
        <v>42257.585532407407</v>
      </c>
      <c r="Q318" s="16" t="s">
        <v>880</v>
      </c>
      <c r="R318" s="17" t="s">
        <v>881</v>
      </c>
      <c r="S318" s="11"/>
      <c r="T318" s="11"/>
      <c r="U318" s="10" t="str">
        <f>HYPERLINK("https://pbs.twimg.com/profile_images/877187359040823296/XnuGw3_1.jpg","View")</f>
        <v>View</v>
      </c>
    </row>
    <row r="319" spans="1:21" ht="51">
      <c r="A319" s="6">
        <v>43427.022118055553</v>
      </c>
      <c r="B319" s="7" t="str">
        <f>HYPERLINK("https://twitter.com/largocaballerof","@largocaballerof")</f>
        <v>@largocaballerof</v>
      </c>
      <c r="C319" s="8" t="s">
        <v>2133</v>
      </c>
      <c r="D319" s="9" t="s">
        <v>2134</v>
      </c>
      <c r="E319" s="10" t="str">
        <f>HYPERLINK("https://twitter.com/largocaballerof/status/1065885626132762624","1065885626132762624")</f>
        <v>1065885626132762624</v>
      </c>
      <c r="F319" s="14" t="s">
        <v>1566</v>
      </c>
      <c r="G319" s="11"/>
      <c r="H319" s="11"/>
      <c r="I319" s="12">
        <v>12</v>
      </c>
      <c r="J319" s="12">
        <v>12</v>
      </c>
      <c r="K319" s="13" t="str">
        <f t="shared" si="54"/>
        <v>Twitter Web Client</v>
      </c>
      <c r="L319" s="12">
        <v>2838</v>
      </c>
      <c r="M319" s="12">
        <v>3128</v>
      </c>
      <c r="N319" s="12">
        <v>76</v>
      </c>
      <c r="O319" s="15"/>
      <c r="P319" s="6">
        <v>41325.964907407411</v>
      </c>
      <c r="Q319" s="16" t="s">
        <v>2136</v>
      </c>
      <c r="R319" s="17" t="s">
        <v>2137</v>
      </c>
      <c r="S319" s="14" t="s">
        <v>2138</v>
      </c>
      <c r="T319" s="11"/>
      <c r="U319" s="10" t="str">
        <f>HYPERLINK("https://pbs.twimg.com/profile_images/703135022543286272/ddlNVrEJ.jpg","View")</f>
        <v>View</v>
      </c>
    </row>
    <row r="320" spans="1:21" ht="30.6">
      <c r="A320" s="6">
        <v>43427.02065972222</v>
      </c>
      <c r="B320" s="7" t="str">
        <f>HYPERLINK("https://twitter.com/JCespinosap","@JCespinosap")</f>
        <v>@JCespinosap</v>
      </c>
      <c r="C320" s="8" t="s">
        <v>882</v>
      </c>
      <c r="D320" s="9" t="s">
        <v>883</v>
      </c>
      <c r="E320" s="10" t="str">
        <f>HYPERLINK("https://twitter.com/JCespinosap/status/1065885098292256768","1065885098292256768")</f>
        <v>1065885098292256768</v>
      </c>
      <c r="F320" s="11"/>
      <c r="G320" s="11"/>
      <c r="H320" s="11"/>
      <c r="I320" s="12">
        <v>0</v>
      </c>
      <c r="J320" s="12">
        <v>0</v>
      </c>
      <c r="K320" s="13" t="str">
        <f>HYPERLINK("http://twitter.com/download/iphone","Twitter for iPhone")</f>
        <v>Twitter for iPhone</v>
      </c>
      <c r="L320" s="12">
        <v>682</v>
      </c>
      <c r="M320" s="12">
        <v>2420</v>
      </c>
      <c r="N320" s="12">
        <v>6</v>
      </c>
      <c r="O320" s="15"/>
      <c r="P320" s="6">
        <v>40202.533032407409</v>
      </c>
      <c r="Q320" s="16" t="s">
        <v>886</v>
      </c>
      <c r="R320" s="17" t="s">
        <v>887</v>
      </c>
      <c r="S320" s="14" t="s">
        <v>888</v>
      </c>
      <c r="T320" s="11"/>
      <c r="U320" s="10" t="str">
        <f>HYPERLINK("https://pbs.twimg.com/profile_images/953657054903676928/1x1THIgv.jpg","View")</f>
        <v>View</v>
      </c>
    </row>
    <row r="321" spans="1:21" ht="51">
      <c r="A321" s="6">
        <v>43427.019988425927</v>
      </c>
      <c r="B321" s="7" t="str">
        <f>HYPERLINK("https://twitter.com/ahorapodemos","@ahorapodemos")</f>
        <v>@ahorapodemos</v>
      </c>
      <c r="C321" s="8" t="s">
        <v>48</v>
      </c>
      <c r="D321" s="9" t="s">
        <v>890</v>
      </c>
      <c r="E321" s="10" t="str">
        <f>HYPERLINK("https://twitter.com/ahorapodemos/status/1065884853885906945","1065884853885906945")</f>
        <v>1065884853885906945</v>
      </c>
      <c r="F321" s="11"/>
      <c r="G321" s="14" t="s">
        <v>862</v>
      </c>
      <c r="H321" s="11"/>
      <c r="I321" s="12">
        <v>116</v>
      </c>
      <c r="J321" s="12">
        <v>135</v>
      </c>
      <c r="K321" s="13" t="str">
        <f>HYPERLINK("http://twitter.com","Twitter Web Client")</f>
        <v>Twitter Web Client</v>
      </c>
      <c r="L321" s="12">
        <v>1338988</v>
      </c>
      <c r="M321" s="12">
        <v>1529</v>
      </c>
      <c r="N321" s="12">
        <v>5654</v>
      </c>
      <c r="O321" s="18" t="s">
        <v>52</v>
      </c>
      <c r="P321" s="6">
        <v>41651.201979166668</v>
      </c>
      <c r="Q321" s="16" t="s">
        <v>54</v>
      </c>
      <c r="R321" s="17" t="s">
        <v>56</v>
      </c>
      <c r="S321" s="14" t="s">
        <v>58</v>
      </c>
      <c r="T321" s="11"/>
      <c r="U321" s="10" t="str">
        <f>HYPERLINK("https://pbs.twimg.com/profile_images/1036536413548892160/J0K-j7cz.jpg","View")</f>
        <v>View</v>
      </c>
    </row>
    <row r="322" spans="1:21" ht="40.799999999999997">
      <c r="A322" s="6">
        <v>43427.019467592589</v>
      </c>
      <c r="B322" s="7" t="str">
        <f>HYPERLINK("https://twitter.com/La_SER","@La_SER")</f>
        <v>@La_SER</v>
      </c>
      <c r="C322" s="8" t="s">
        <v>924</v>
      </c>
      <c r="D322" s="9" t="s">
        <v>2151</v>
      </c>
      <c r="E322" s="10" t="str">
        <f>HYPERLINK("https://twitter.com/La_SER/status/1065884668870836224","1065884668870836224")</f>
        <v>1065884668870836224</v>
      </c>
      <c r="F322" s="14" t="s">
        <v>781</v>
      </c>
      <c r="G322" s="14" t="s">
        <v>2155</v>
      </c>
      <c r="H322" s="11"/>
      <c r="I322" s="12">
        <v>7</v>
      </c>
      <c r="J322" s="12">
        <v>8</v>
      </c>
      <c r="K322" s="13" t="str">
        <f>HYPERLINK("http://snappytv.com","SnappyTV.com")</f>
        <v>SnappyTV.com</v>
      </c>
      <c r="L322" s="12">
        <v>1152494</v>
      </c>
      <c r="M322" s="12">
        <v>778</v>
      </c>
      <c r="N322" s="12">
        <v>10623</v>
      </c>
      <c r="O322" s="18" t="s">
        <v>52</v>
      </c>
      <c r="P322" s="6">
        <v>39965.379942129628</v>
      </c>
      <c r="Q322" s="11"/>
      <c r="R322" s="17" t="s">
        <v>948</v>
      </c>
      <c r="S322" s="14" t="s">
        <v>949</v>
      </c>
      <c r="T322" s="11"/>
      <c r="U322" s="10" t="str">
        <f>HYPERLINK("https://pbs.twimg.com/profile_images/1039929065774481409/zsYMDMZj.jpg","View")</f>
        <v>View</v>
      </c>
    </row>
    <row r="323" spans="1:21" ht="91.8">
      <c r="A323" s="6">
        <v>43427.019108796296</v>
      </c>
      <c r="B323" s="7" t="str">
        <f>HYPERLINK("https://twitter.com/MonteLuz2","@MonteLuz2")</f>
        <v>@MonteLuz2</v>
      </c>
      <c r="C323" s="8" t="s">
        <v>2157</v>
      </c>
      <c r="D323" s="9" t="s">
        <v>2158</v>
      </c>
      <c r="E323" s="10" t="str">
        <f>HYPERLINK("https://twitter.com/MonteLuz2/status/1065884535450161152","1065884535450161152")</f>
        <v>1065884535450161152</v>
      </c>
      <c r="F323" s="16" t="s">
        <v>2159</v>
      </c>
      <c r="G323" s="11"/>
      <c r="H323" s="11"/>
      <c r="I323" s="12">
        <v>0</v>
      </c>
      <c r="J323" s="12">
        <v>0</v>
      </c>
      <c r="K323" s="13" t="str">
        <f>HYPERLINK("http://twitter.com/download/iphone","Twitter for iPhone")</f>
        <v>Twitter for iPhone</v>
      </c>
      <c r="L323" s="12">
        <v>109</v>
      </c>
      <c r="M323" s="12">
        <v>319</v>
      </c>
      <c r="N323" s="12">
        <v>0</v>
      </c>
      <c r="O323" s="15"/>
      <c r="P323" s="6">
        <v>41242.640972222223</v>
      </c>
      <c r="Q323" s="16" t="s">
        <v>2160</v>
      </c>
      <c r="R323" s="17" t="s">
        <v>2161</v>
      </c>
      <c r="S323" s="11"/>
      <c r="T323" s="11"/>
      <c r="U323" s="10" t="str">
        <f>HYPERLINK("https://pbs.twimg.com/profile_images/2912613588/0c587ef70076ff6b090474020e1dc339.jpeg","View")</f>
        <v>View</v>
      </c>
    </row>
    <row r="324" spans="1:21" ht="40.799999999999997">
      <c r="A324" s="6">
        <v>43427.01835648148</v>
      </c>
      <c r="B324" s="7" t="str">
        <f>HYPERLINK("https://twitter.com/antonovas","@antonovas")</f>
        <v>@antonovas</v>
      </c>
      <c r="C324" s="8" t="s">
        <v>897</v>
      </c>
      <c r="D324" s="9" t="s">
        <v>898</v>
      </c>
      <c r="E324" s="10" t="str">
        <f>HYPERLINK("https://twitter.com/antonovas/status/1065884264099708928","1065884264099708928")</f>
        <v>1065884264099708928</v>
      </c>
      <c r="F324" s="14" t="s">
        <v>899</v>
      </c>
      <c r="G324" s="14" t="s">
        <v>900</v>
      </c>
      <c r="H324" s="11"/>
      <c r="I324" s="12">
        <v>0</v>
      </c>
      <c r="J324" s="12">
        <v>0</v>
      </c>
      <c r="K324" s="13" t="str">
        <f>HYPERLINK("http://twitter.com/#!/download/ipad","Twitter for iPad")</f>
        <v>Twitter for iPad</v>
      </c>
      <c r="L324" s="12">
        <v>3931</v>
      </c>
      <c r="M324" s="12">
        <v>3218</v>
      </c>
      <c r="N324" s="12">
        <v>124</v>
      </c>
      <c r="O324" s="15"/>
      <c r="P324" s="6">
        <v>40032.396886574075</v>
      </c>
      <c r="Q324" s="16" t="s">
        <v>903</v>
      </c>
      <c r="R324" s="17" t="s">
        <v>904</v>
      </c>
      <c r="S324" s="14" t="s">
        <v>905</v>
      </c>
      <c r="T324" s="11"/>
      <c r="U324" s="10" t="str">
        <f>HYPERLINK("https://pbs.twimg.com/profile_images/1035268788634173446/caBYhraI.jpg","View")</f>
        <v>View</v>
      </c>
    </row>
    <row r="325" spans="1:21" ht="51">
      <c r="A325" s="6">
        <v>43427.018078703702</v>
      </c>
      <c r="B325" s="7" t="str">
        <f>HYPERLINK("https://twitter.com/JuandezFdez","@JuandezFdez")</f>
        <v>@JuandezFdez</v>
      </c>
      <c r="C325" s="8" t="s">
        <v>2166</v>
      </c>
      <c r="D325" s="9" t="s">
        <v>2167</v>
      </c>
      <c r="E325" s="10" t="str">
        <f>HYPERLINK("https://twitter.com/JuandezFdez/status/1065884162673045504","1065884162673045504")</f>
        <v>1065884162673045504</v>
      </c>
      <c r="F325" s="11"/>
      <c r="G325" s="11"/>
      <c r="H325" s="11"/>
      <c r="I325" s="12">
        <v>1</v>
      </c>
      <c r="J325" s="12">
        <v>3</v>
      </c>
      <c r="K325" s="13" t="str">
        <f t="shared" ref="K325:K326" si="55">HYPERLINK("http://twitter.com/download/android","Twitter for Android")</f>
        <v>Twitter for Android</v>
      </c>
      <c r="L325" s="12">
        <v>2185</v>
      </c>
      <c r="M325" s="12">
        <v>4867</v>
      </c>
      <c r="N325" s="12">
        <v>1</v>
      </c>
      <c r="O325" s="15"/>
      <c r="P325" s="6">
        <v>42871.447384259256</v>
      </c>
      <c r="Q325" s="11"/>
      <c r="R325" s="17" t="s">
        <v>2170</v>
      </c>
      <c r="S325" s="11"/>
      <c r="T325" s="11"/>
      <c r="U325" s="10" t="str">
        <f>HYPERLINK("https://pbs.twimg.com/profile_images/867423596796358656/WbHcB-W-.jpg","View")</f>
        <v>View</v>
      </c>
    </row>
    <row r="326" spans="1:21" ht="30.6">
      <c r="A326" s="6">
        <v>43427.017523148148</v>
      </c>
      <c r="B326" s="7" t="str">
        <f>HYPERLINK("https://twitter.com/Francis98204014","@Francis98204014")</f>
        <v>@Francis98204014</v>
      </c>
      <c r="C326" s="8" t="s">
        <v>2070</v>
      </c>
      <c r="D326" s="9" t="s">
        <v>2172</v>
      </c>
      <c r="E326" s="10" t="str">
        <f>HYPERLINK("https://twitter.com/Francis98204014/status/1065883961853915136","1065883961853915136")</f>
        <v>1065883961853915136</v>
      </c>
      <c r="F326" s="11"/>
      <c r="G326" s="11"/>
      <c r="H326" s="11"/>
      <c r="I326" s="12">
        <v>1</v>
      </c>
      <c r="J326" s="12">
        <v>2</v>
      </c>
      <c r="K326" s="13" t="str">
        <f t="shared" si="55"/>
        <v>Twitter for Android</v>
      </c>
      <c r="L326" s="12">
        <v>5425</v>
      </c>
      <c r="M326" s="12">
        <v>5160</v>
      </c>
      <c r="N326" s="12">
        <v>80</v>
      </c>
      <c r="O326" s="15"/>
      <c r="P326" s="6">
        <v>42023.604328703703</v>
      </c>
      <c r="Q326" s="11"/>
      <c r="R326" s="19"/>
      <c r="S326" s="11"/>
      <c r="T326" s="11"/>
      <c r="U326" s="10" t="str">
        <f>HYPERLINK("https://pbs.twimg.com/profile_images/557305420625502208/DgZmRbYl.jpeg","View")</f>
        <v>View</v>
      </c>
    </row>
    <row r="327" spans="1:21" ht="40.799999999999997">
      <c r="A327" s="6">
        <v>43427.01699074074</v>
      </c>
      <c r="B327" s="7" t="str">
        <f>HYPERLINK("https://twitter.com/JaviBanuelos","@JaviBanuelos")</f>
        <v>@JaviBanuelos</v>
      </c>
      <c r="C327" s="8" t="s">
        <v>815</v>
      </c>
      <c r="D327" s="9" t="s">
        <v>909</v>
      </c>
      <c r="E327" s="10" t="str">
        <f>HYPERLINK("https://twitter.com/JaviBanuelos/status/1065883769159249921","1065883769159249921")</f>
        <v>1065883769159249921</v>
      </c>
      <c r="F327" s="11"/>
      <c r="G327" s="11"/>
      <c r="H327" s="11"/>
      <c r="I327" s="12">
        <v>0</v>
      </c>
      <c r="J327" s="12">
        <v>0</v>
      </c>
      <c r="K327" s="13" t="str">
        <f>HYPERLINK("http://twitter.com/download/iphone","Twitter for iPhone")</f>
        <v>Twitter for iPhone</v>
      </c>
      <c r="L327" s="12">
        <v>3299</v>
      </c>
      <c r="M327" s="12">
        <v>975</v>
      </c>
      <c r="N327" s="12">
        <v>112</v>
      </c>
      <c r="O327" s="15"/>
      <c r="P327" s="6">
        <v>40569.068877314814</v>
      </c>
      <c r="Q327" s="11"/>
      <c r="R327" s="17" t="s">
        <v>817</v>
      </c>
      <c r="S327" s="11"/>
      <c r="T327" s="11"/>
      <c r="U327" s="10" t="str">
        <f>HYPERLINK("https://pbs.twimg.com/profile_images/669456784843792384/SGXEKOiz.jpg","View")</f>
        <v>View</v>
      </c>
    </row>
    <row r="328" spans="1:21" ht="40.799999999999997">
      <c r="A328" s="6">
        <v>43427.016087962962</v>
      </c>
      <c r="B328" s="7" t="str">
        <f>HYPERLINK("https://twitter.com/FeminismoDgital","@FeminismoDgital")</f>
        <v>@FeminismoDgital</v>
      </c>
      <c r="C328" s="8" t="s">
        <v>2180</v>
      </c>
      <c r="D328" s="9" t="s">
        <v>2181</v>
      </c>
      <c r="E328" s="10" t="str">
        <f>HYPERLINK("https://twitter.com/FeminismoDgital/status/1065883443203059712","1065883443203059712")</f>
        <v>1065883443203059712</v>
      </c>
      <c r="F328" s="11"/>
      <c r="G328" s="11"/>
      <c r="H328" s="11"/>
      <c r="I328" s="12">
        <v>2</v>
      </c>
      <c r="J328" s="12">
        <v>1</v>
      </c>
      <c r="K328" s="13" t="str">
        <f>HYPERLINK("https://about.twitter.com/products/tweetdeck","TweetDeck")</f>
        <v>TweetDeck</v>
      </c>
      <c r="L328" s="12">
        <v>16277</v>
      </c>
      <c r="M328" s="12">
        <v>1457</v>
      </c>
      <c r="N328" s="12">
        <v>171</v>
      </c>
      <c r="O328" s="15"/>
      <c r="P328" s="6">
        <v>40958.078564814816</v>
      </c>
      <c r="Q328" s="16" t="s">
        <v>28</v>
      </c>
      <c r="R328" s="17" t="s">
        <v>2186</v>
      </c>
      <c r="S328" s="11"/>
      <c r="T328" s="11"/>
      <c r="U328" s="10" t="str">
        <f>HYPERLINK("https://pbs.twimg.com/profile_images/1839002802/femiminsta2.jpg","View")</f>
        <v>View</v>
      </c>
    </row>
    <row r="329" spans="1:21" ht="40.799999999999997">
      <c r="A329" s="6">
        <v>43427.016006944439</v>
      </c>
      <c r="B329" s="7" t="str">
        <f>HYPERLINK("https://twitter.com/pablochecam","@pablochecam")</f>
        <v>@pablochecam</v>
      </c>
      <c r="C329" s="8" t="s">
        <v>2188</v>
      </c>
      <c r="D329" s="9" t="s">
        <v>2189</v>
      </c>
      <c r="E329" s="10" t="str">
        <f>HYPERLINK("https://twitter.com/pablochecam/status/1065883411141836801","1065883411141836801")</f>
        <v>1065883411141836801</v>
      </c>
      <c r="F329" s="11"/>
      <c r="G329" s="11"/>
      <c r="H329" s="11"/>
      <c r="I329" s="12">
        <v>0</v>
      </c>
      <c r="J329" s="12">
        <v>2</v>
      </c>
      <c r="K329" s="13" t="str">
        <f>HYPERLINK("http://twitter.com/download/iphone","Twitter for iPhone")</f>
        <v>Twitter for iPhone</v>
      </c>
      <c r="L329" s="12">
        <v>2438</v>
      </c>
      <c r="M329" s="12">
        <v>780</v>
      </c>
      <c r="N329" s="12">
        <v>72</v>
      </c>
      <c r="O329" s="15"/>
      <c r="P329" s="6">
        <v>40861.0856712963</v>
      </c>
      <c r="Q329" s="16" t="s">
        <v>2190</v>
      </c>
      <c r="R329" s="17" t="s">
        <v>2191</v>
      </c>
      <c r="S329" s="11"/>
      <c r="T329" s="11"/>
      <c r="U329" s="10" t="str">
        <f>HYPERLINK("https://pbs.twimg.com/profile_images/991012110950895616/bYqDHrZB.jpg","View")</f>
        <v>View</v>
      </c>
    </row>
    <row r="330" spans="1:21" ht="40.799999999999997">
      <c r="A330" s="6">
        <v>43427.015949074077</v>
      </c>
      <c r="B330" s="7" t="str">
        <f>HYPERLINK("https://twitter.com/Zanalord","@Zanalord")</f>
        <v>@Zanalord</v>
      </c>
      <c r="C330" s="8" t="s">
        <v>910</v>
      </c>
      <c r="D330" s="9" t="s">
        <v>911</v>
      </c>
      <c r="E330" s="10" t="str">
        <f>HYPERLINK("https://twitter.com/Zanalord/status/1065883393483816960","1065883393483816960")</f>
        <v>1065883393483816960</v>
      </c>
      <c r="F330" s="14" t="s">
        <v>529</v>
      </c>
      <c r="G330" s="11"/>
      <c r="H330" s="11"/>
      <c r="I330" s="12">
        <v>2</v>
      </c>
      <c r="J330" s="12">
        <v>3</v>
      </c>
      <c r="K330" s="13" t="str">
        <f>HYPERLINK("https://mobile.twitter.com","Twitter Lite")</f>
        <v>Twitter Lite</v>
      </c>
      <c r="L330" s="12">
        <v>1654</v>
      </c>
      <c r="M330" s="12">
        <v>382</v>
      </c>
      <c r="N330" s="12">
        <v>19</v>
      </c>
      <c r="O330" s="15"/>
      <c r="P330" s="6">
        <v>40717.423368055555</v>
      </c>
      <c r="Q330" s="11"/>
      <c r="R330" s="17" t="s">
        <v>912</v>
      </c>
      <c r="S330" s="11"/>
      <c r="T330" s="11"/>
      <c r="U330" s="10" t="str">
        <f>HYPERLINK("https://pbs.twimg.com/profile_images/1444349134/minero.JPG","View")</f>
        <v>View</v>
      </c>
    </row>
    <row r="331" spans="1:21" ht="51">
      <c r="A331" s="6">
        <v>43427.015173611115</v>
      </c>
      <c r="B331" s="7" t="str">
        <f>HYPERLINK("https://twitter.com/HoyPorHoy","@HoyPorHoy")</f>
        <v>@HoyPorHoy</v>
      </c>
      <c r="C331" s="8" t="s">
        <v>919</v>
      </c>
      <c r="D331" s="9" t="s">
        <v>2197</v>
      </c>
      <c r="E331" s="10" t="str">
        <f>HYPERLINK("https://twitter.com/HoyPorHoy/status/1065883112935059456","1065883112935059456")</f>
        <v>1065883112935059456</v>
      </c>
      <c r="F331" s="14" t="s">
        <v>781</v>
      </c>
      <c r="G331" s="14" t="s">
        <v>2200</v>
      </c>
      <c r="H331" s="11"/>
      <c r="I331" s="12">
        <v>23</v>
      </c>
      <c r="J331" s="12">
        <v>51</v>
      </c>
      <c r="K331" s="13" t="str">
        <f>HYPERLINK("http://snappytv.com","SnappyTV.com")</f>
        <v>SnappyTV.com</v>
      </c>
      <c r="L331" s="12">
        <v>151238</v>
      </c>
      <c r="M331" s="12">
        <v>547</v>
      </c>
      <c r="N331" s="12">
        <v>1950</v>
      </c>
      <c r="O331" s="18" t="s">
        <v>52</v>
      </c>
      <c r="P331" s="6">
        <v>40524.4375</v>
      </c>
      <c r="Q331" s="16" t="s">
        <v>924</v>
      </c>
      <c r="R331" s="17" t="s">
        <v>925</v>
      </c>
      <c r="S331" s="14" t="s">
        <v>926</v>
      </c>
      <c r="T331" s="11"/>
      <c r="U331" s="10" t="str">
        <f>HYPERLINK("https://pbs.twimg.com/profile_images/1048055720007163905/tEd_7iXy.jpg","View")</f>
        <v>View</v>
      </c>
    </row>
    <row r="332" spans="1:21" ht="20.399999999999999">
      <c r="A332" s="6">
        <v>43427.014976851853</v>
      </c>
      <c r="B332" s="7" t="str">
        <f>HYPERLINK("https://twitter.com/juanjoabzps","@juanjoabzps")</f>
        <v>@juanjoabzps</v>
      </c>
      <c r="C332" s="8" t="s">
        <v>2203</v>
      </c>
      <c r="D332" s="9" t="s">
        <v>2204</v>
      </c>
      <c r="E332" s="10" t="str">
        <f>HYPERLINK("https://twitter.com/juanjoabzps/status/1065883037802659841","1065883037802659841")</f>
        <v>1065883037802659841</v>
      </c>
      <c r="F332" s="11"/>
      <c r="G332" s="11"/>
      <c r="H332" s="11"/>
      <c r="I332" s="12">
        <v>0</v>
      </c>
      <c r="J332" s="12">
        <v>0</v>
      </c>
      <c r="K332" s="13" t="str">
        <f>HYPERLINK("http://twitter.com/download/android","Twitter for Android")</f>
        <v>Twitter for Android</v>
      </c>
      <c r="L332" s="12">
        <v>130</v>
      </c>
      <c r="M332" s="12">
        <v>410</v>
      </c>
      <c r="N332" s="12">
        <v>5</v>
      </c>
      <c r="O332" s="15"/>
      <c r="P332" s="6">
        <v>42527.498796296291</v>
      </c>
      <c r="Q332" s="11"/>
      <c r="R332" s="17" t="s">
        <v>2206</v>
      </c>
      <c r="S332" s="11"/>
      <c r="T332" s="11"/>
      <c r="U332" s="10" t="str">
        <f>HYPERLINK("https://pbs.twimg.com/profile_images/930559161435344901/FU0FmPTl.jpg","View")</f>
        <v>View</v>
      </c>
    </row>
    <row r="333" spans="1:21" ht="51">
      <c r="A333" s="6">
        <v>43427.013113425928</v>
      </c>
      <c r="B333" s="7" t="str">
        <f>HYPERLINK("https://twitter.com/gomeziniesta","@gomeziniesta")</f>
        <v>@gomeziniesta</v>
      </c>
      <c r="C333" s="8" t="s">
        <v>2208</v>
      </c>
      <c r="D333" s="9" t="s">
        <v>2210</v>
      </c>
      <c r="E333" s="10" t="str">
        <f>HYPERLINK("https://twitter.com/gomeziniesta/status/1065882362779705349","1065882362779705349")</f>
        <v>1065882362779705349</v>
      </c>
      <c r="F333" s="11"/>
      <c r="G333" s="11"/>
      <c r="H333" s="11"/>
      <c r="I333" s="12">
        <v>0</v>
      </c>
      <c r="J333" s="12">
        <v>0</v>
      </c>
      <c r="K333" s="13" t="str">
        <f>HYPERLINK("http://twitter.com/download/iphone","Twitter for iPhone")</f>
        <v>Twitter for iPhone</v>
      </c>
      <c r="L333" s="12">
        <v>147</v>
      </c>
      <c r="M333" s="12">
        <v>250</v>
      </c>
      <c r="N333" s="12">
        <v>6</v>
      </c>
      <c r="O333" s="15"/>
      <c r="P333" s="6">
        <v>40601.528240740743</v>
      </c>
      <c r="Q333" s="11"/>
      <c r="R333" s="17" t="s">
        <v>2213</v>
      </c>
      <c r="S333" s="11"/>
      <c r="T333" s="11"/>
      <c r="U333" s="10" t="str">
        <f>HYPERLINK("https://pbs.twimg.com/profile_images/518055593232187392/ZpnF2HFm.jpeg","View")</f>
        <v>View</v>
      </c>
    </row>
    <row r="334" spans="1:21" ht="51">
      <c r="A334" s="6">
        <v>43427.012800925921</v>
      </c>
      <c r="B334" s="7" t="str">
        <f>HYPERLINK("https://twitter.com/FreireALFONSO","@FreireALFONSO")</f>
        <v>@FreireALFONSO</v>
      </c>
      <c r="C334" s="8" t="s">
        <v>434</v>
      </c>
      <c r="D334" s="9" t="s">
        <v>913</v>
      </c>
      <c r="E334" s="10" t="str">
        <f>HYPERLINK("https://twitter.com/FreireALFONSO/status/1065882253253885952","1065882253253885952")</f>
        <v>1065882253253885952</v>
      </c>
      <c r="F334" s="11"/>
      <c r="G334" s="14" t="s">
        <v>914</v>
      </c>
      <c r="H334" s="11"/>
      <c r="I334" s="12">
        <v>0</v>
      </c>
      <c r="J334" s="12">
        <v>0</v>
      </c>
      <c r="K334" s="13" t="str">
        <f>HYPERLINK("http://twitter.com/download/android","Twitter for Android")</f>
        <v>Twitter for Android</v>
      </c>
      <c r="L334" s="12">
        <v>101</v>
      </c>
      <c r="M334" s="12">
        <v>83</v>
      </c>
      <c r="N334" s="12">
        <v>4</v>
      </c>
      <c r="O334" s="15"/>
      <c r="P334" s="6">
        <v>41195.490740740745</v>
      </c>
      <c r="Q334" s="16" t="s">
        <v>439</v>
      </c>
      <c r="R334" s="17" t="s">
        <v>440</v>
      </c>
      <c r="S334" s="11"/>
      <c r="T334" s="11"/>
      <c r="U334" s="10" t="str">
        <f>HYPERLINK("https://pbs.twimg.com/profile_images/1040311561552887808/pTkAtlbw.jpg","View")</f>
        <v>View</v>
      </c>
    </row>
    <row r="335" spans="1:21" ht="30.6">
      <c r="A335" s="6">
        <v>43427.012511574074</v>
      </c>
      <c r="B335" s="7" t="str">
        <f>HYPERLINK("https://twitter.com/HoyPorHoy","@HoyPorHoy")</f>
        <v>@HoyPorHoy</v>
      </c>
      <c r="C335" s="8" t="s">
        <v>919</v>
      </c>
      <c r="D335" s="9" t="s">
        <v>2219</v>
      </c>
      <c r="E335" s="10" t="str">
        <f>HYPERLINK("https://twitter.com/HoyPorHoy/status/1065882146257039360","1065882146257039360")</f>
        <v>1065882146257039360</v>
      </c>
      <c r="F335" s="14" t="s">
        <v>781</v>
      </c>
      <c r="G335" s="14" t="s">
        <v>2221</v>
      </c>
      <c r="H335" s="11"/>
      <c r="I335" s="12">
        <v>14</v>
      </c>
      <c r="J335" s="12">
        <v>21</v>
      </c>
      <c r="K335" s="13" t="str">
        <f>HYPERLINK("http://snappytv.com","SnappyTV.com")</f>
        <v>SnappyTV.com</v>
      </c>
      <c r="L335" s="12">
        <v>151238</v>
      </c>
      <c r="M335" s="12">
        <v>547</v>
      </c>
      <c r="N335" s="12">
        <v>1950</v>
      </c>
      <c r="O335" s="18" t="s">
        <v>52</v>
      </c>
      <c r="P335" s="6">
        <v>40524.4375</v>
      </c>
      <c r="Q335" s="16" t="s">
        <v>924</v>
      </c>
      <c r="R335" s="17" t="s">
        <v>925</v>
      </c>
      <c r="S335" s="14" t="s">
        <v>926</v>
      </c>
      <c r="T335" s="11"/>
      <c r="U335" s="10" t="str">
        <f>HYPERLINK("https://pbs.twimg.com/profile_images/1048055720007163905/tEd_7iXy.jpg","View")</f>
        <v>View</v>
      </c>
    </row>
    <row r="336" spans="1:21" ht="20.399999999999999">
      <c r="A336" s="6">
        <v>43427.011840277773</v>
      </c>
      <c r="B336" s="7" t="str">
        <f>HYPERLINK("https://twitter.com/MarilynHuerta7","@MarilynHuerta7")</f>
        <v>@MarilynHuerta7</v>
      </c>
      <c r="C336" s="8" t="s">
        <v>2225</v>
      </c>
      <c r="D336" s="9" t="s">
        <v>2226</v>
      </c>
      <c r="E336" s="10" t="str">
        <f>HYPERLINK("https://twitter.com/MarilynHuerta7/status/1065881902647627776","1065881902647627776")</f>
        <v>1065881902647627776</v>
      </c>
      <c r="F336" s="14" t="s">
        <v>2228</v>
      </c>
      <c r="G336" s="14" t="s">
        <v>2229</v>
      </c>
      <c r="H336" s="11"/>
      <c r="I336" s="12">
        <v>0</v>
      </c>
      <c r="J336" s="12">
        <v>0</v>
      </c>
      <c r="K336" s="13" t="str">
        <f>HYPERLINK("https://dlvrit.com/","dlvr.it")</f>
        <v>dlvr.it</v>
      </c>
      <c r="L336" s="12">
        <v>39</v>
      </c>
      <c r="M336" s="12">
        <v>55</v>
      </c>
      <c r="N336" s="12">
        <v>0</v>
      </c>
      <c r="O336" s="15"/>
      <c r="P336" s="6">
        <v>43313.373969907407</v>
      </c>
      <c r="Q336" s="16" t="s">
        <v>2230</v>
      </c>
      <c r="R336" s="17" t="s">
        <v>2231</v>
      </c>
      <c r="S336" s="11"/>
      <c r="T336" s="11"/>
      <c r="U336" s="10" t="str">
        <f>HYPERLINK("https://pbs.twimg.com/profile_images/1024686421150498816/lwqmXHKE.jpg","View")</f>
        <v>View</v>
      </c>
    </row>
    <row r="337" spans="1:21" ht="51">
      <c r="A337" s="6">
        <v>43427.011550925927</v>
      </c>
      <c r="B337" s="7" t="str">
        <f>HYPERLINK("https://twitter.com/anayrama","@anayrama")</f>
        <v>@anayrama</v>
      </c>
      <c r="C337" s="8" t="s">
        <v>915</v>
      </c>
      <c r="D337" s="9" t="s">
        <v>916</v>
      </c>
      <c r="E337" s="10" t="str">
        <f>HYPERLINK("https://twitter.com/anayrama/status/1065881799883190272","1065881799883190272")</f>
        <v>1065881799883190272</v>
      </c>
      <c r="F337" s="11"/>
      <c r="G337" s="11"/>
      <c r="H337" s="11"/>
      <c r="I337" s="12">
        <v>18</v>
      </c>
      <c r="J337" s="12">
        <v>34</v>
      </c>
      <c r="K337" s="13" t="str">
        <f>HYPERLINK("http://twitter.com/download/android","Twitter for Android")</f>
        <v>Twitter for Android</v>
      </c>
      <c r="L337" s="12">
        <v>1828</v>
      </c>
      <c r="M337" s="12">
        <v>664</v>
      </c>
      <c r="N337" s="12">
        <v>36</v>
      </c>
      <c r="O337" s="15"/>
      <c r="P337" s="6">
        <v>40767.083333333336</v>
      </c>
      <c r="Q337" s="16" t="s">
        <v>38</v>
      </c>
      <c r="R337" s="17" t="s">
        <v>917</v>
      </c>
      <c r="S337" s="14" t="s">
        <v>918</v>
      </c>
      <c r="T337" s="11"/>
      <c r="U337" s="10" t="str">
        <f>HYPERLINK("https://pbs.twimg.com/profile_images/995970202750865409/qrx_eeSS.jpg","View")</f>
        <v>View</v>
      </c>
    </row>
    <row r="338" spans="1:21" ht="20.399999999999999">
      <c r="A338" s="6">
        <v>43427.01059027778</v>
      </c>
      <c r="B338" s="7" t="str">
        <f>HYPERLINK("https://twitter.com/AnamKra","@AnamKra")</f>
        <v>@AnamKra</v>
      </c>
      <c r="C338" s="8" t="s">
        <v>2238</v>
      </c>
      <c r="D338" s="9" t="s">
        <v>2239</v>
      </c>
      <c r="E338" s="10" t="str">
        <f>HYPERLINK("https://twitter.com/AnamKra/status/1065881449625251840","1065881449625251840")</f>
        <v>1065881449625251840</v>
      </c>
      <c r="F338" s="11"/>
      <c r="G338" s="11"/>
      <c r="H338" s="11"/>
      <c r="I338" s="12">
        <v>0</v>
      </c>
      <c r="J338" s="12">
        <v>0</v>
      </c>
      <c r="K338" s="13" t="str">
        <f>HYPERLINK("http://twitter.com","Twitter Web Client")</f>
        <v>Twitter Web Client</v>
      </c>
      <c r="L338" s="12">
        <v>653</v>
      </c>
      <c r="M338" s="12">
        <v>967</v>
      </c>
      <c r="N338" s="12">
        <v>36</v>
      </c>
      <c r="O338" s="15"/>
      <c r="P338" s="6">
        <v>40202.597534722227</v>
      </c>
      <c r="Q338" s="16" t="s">
        <v>2241</v>
      </c>
      <c r="R338" s="17" t="s">
        <v>2242</v>
      </c>
      <c r="S338" s="11"/>
      <c r="T338" s="11"/>
      <c r="U338" s="10" t="str">
        <f>HYPERLINK("https://pbs.twimg.com/profile_images/848891205572276224/poU754s9.jpg","View")</f>
        <v>View</v>
      </c>
    </row>
    <row r="339" spans="1:21" ht="40.799999999999997">
      <c r="A339" s="6">
        <v>43427.010347222225</v>
      </c>
      <c r="B339" s="7" t="str">
        <f t="shared" ref="B339:B341" si="56">HYPERLINK("https://twitter.com/HoyPorHoy","@HoyPorHoy")</f>
        <v>@HoyPorHoy</v>
      </c>
      <c r="C339" s="8" t="s">
        <v>919</v>
      </c>
      <c r="D339" s="9" t="s">
        <v>2245</v>
      </c>
      <c r="E339" s="10" t="str">
        <f>HYPERLINK("https://twitter.com/HoyPorHoy/status/1065881360798076930","1065881360798076930")</f>
        <v>1065881360798076930</v>
      </c>
      <c r="F339" s="14" t="s">
        <v>781</v>
      </c>
      <c r="G339" s="14" t="s">
        <v>2247</v>
      </c>
      <c r="H339" s="11"/>
      <c r="I339" s="12">
        <v>10</v>
      </c>
      <c r="J339" s="12">
        <v>24</v>
      </c>
      <c r="K339" s="13" t="str">
        <f>HYPERLINK("http://snappytv.com","SnappyTV.com")</f>
        <v>SnappyTV.com</v>
      </c>
      <c r="L339" s="12">
        <v>151238</v>
      </c>
      <c r="M339" s="12">
        <v>547</v>
      </c>
      <c r="N339" s="12">
        <v>1950</v>
      </c>
      <c r="O339" s="18" t="s">
        <v>52</v>
      </c>
      <c r="P339" s="6">
        <v>40524.4375</v>
      </c>
      <c r="Q339" s="16" t="s">
        <v>924</v>
      </c>
      <c r="R339" s="17" t="s">
        <v>925</v>
      </c>
      <c r="S339" s="14" t="s">
        <v>926</v>
      </c>
      <c r="T339" s="11"/>
      <c r="U339" s="10" t="str">
        <f t="shared" ref="U339:U341" si="57">HYPERLINK("https://pbs.twimg.com/profile_images/1048055720007163905/tEd_7iXy.jpg","View")</f>
        <v>View</v>
      </c>
    </row>
    <row r="340" spans="1:21" ht="40.799999999999997">
      <c r="A340" s="6">
        <v>43427.010150462964</v>
      </c>
      <c r="B340" s="7" t="str">
        <f t="shared" si="56"/>
        <v>@HoyPorHoy</v>
      </c>
      <c r="C340" s="8" t="s">
        <v>919</v>
      </c>
      <c r="D340" s="9" t="s">
        <v>920</v>
      </c>
      <c r="E340" s="10" t="str">
        <f>HYPERLINK("https://twitter.com/HoyPorHoy/status/1065881291424436224","1065881291424436224")</f>
        <v>1065881291424436224</v>
      </c>
      <c r="F340" s="14" t="s">
        <v>921</v>
      </c>
      <c r="G340" s="11"/>
      <c r="H340" s="11"/>
      <c r="I340" s="12">
        <v>2</v>
      </c>
      <c r="J340" s="12">
        <v>4</v>
      </c>
      <c r="K340" s="13" t="str">
        <f t="shared" ref="K340:K341" si="58">HYPERLINK("http://twitter.com","Twitter Web Client")</f>
        <v>Twitter Web Client</v>
      </c>
      <c r="L340" s="12">
        <v>151238</v>
      </c>
      <c r="M340" s="12">
        <v>547</v>
      </c>
      <c r="N340" s="12">
        <v>1950</v>
      </c>
      <c r="O340" s="18" t="s">
        <v>52</v>
      </c>
      <c r="P340" s="6">
        <v>40524.4375</v>
      </c>
      <c r="Q340" s="16" t="s">
        <v>924</v>
      </c>
      <c r="R340" s="17" t="s">
        <v>925</v>
      </c>
      <c r="S340" s="14" t="s">
        <v>926</v>
      </c>
      <c r="T340" s="11"/>
      <c r="U340" s="10" t="str">
        <f t="shared" si="57"/>
        <v>View</v>
      </c>
    </row>
    <row r="341" spans="1:21" ht="30.6">
      <c r="A341" s="6">
        <v>43427.009027777778</v>
      </c>
      <c r="B341" s="7" t="str">
        <f t="shared" si="56"/>
        <v>@HoyPorHoy</v>
      </c>
      <c r="C341" s="8" t="s">
        <v>919</v>
      </c>
      <c r="D341" s="9" t="s">
        <v>928</v>
      </c>
      <c r="E341" s="10" t="str">
        <f>HYPERLINK("https://twitter.com/HoyPorHoy/status/1065880882924400645","1065880882924400645")</f>
        <v>1065880882924400645</v>
      </c>
      <c r="F341" s="14" t="s">
        <v>921</v>
      </c>
      <c r="G341" s="11"/>
      <c r="H341" s="11"/>
      <c r="I341" s="12">
        <v>0</v>
      </c>
      <c r="J341" s="12">
        <v>0</v>
      </c>
      <c r="K341" s="13" t="str">
        <f t="shared" si="58"/>
        <v>Twitter Web Client</v>
      </c>
      <c r="L341" s="12">
        <v>151238</v>
      </c>
      <c r="M341" s="12">
        <v>547</v>
      </c>
      <c r="N341" s="12">
        <v>1950</v>
      </c>
      <c r="O341" s="18" t="s">
        <v>52</v>
      </c>
      <c r="P341" s="6">
        <v>40524.4375</v>
      </c>
      <c r="Q341" s="16" t="s">
        <v>924</v>
      </c>
      <c r="R341" s="17" t="s">
        <v>925</v>
      </c>
      <c r="S341" s="14" t="s">
        <v>926</v>
      </c>
      <c r="T341" s="11"/>
      <c r="U341" s="10" t="str">
        <f t="shared" si="57"/>
        <v>View</v>
      </c>
    </row>
    <row r="342" spans="1:21" ht="51">
      <c r="A342" s="6">
        <v>43427.008414351847</v>
      </c>
      <c r="B342" s="7" t="str">
        <f>HYPERLINK("https://twitter.com/Alberto_Gomez","@Alberto_Gomez")</f>
        <v>@Alberto_Gomez</v>
      </c>
      <c r="C342" s="8" t="s">
        <v>2259</v>
      </c>
      <c r="D342" s="9" t="s">
        <v>2260</v>
      </c>
      <c r="E342" s="10" t="str">
        <f>HYPERLINK("https://twitter.com/Alberto_Gomez/status/1065880660798246912","1065880660798246912")</f>
        <v>1065880660798246912</v>
      </c>
      <c r="F342" s="11"/>
      <c r="G342" s="11"/>
      <c r="H342" s="11"/>
      <c r="I342" s="12">
        <v>1</v>
      </c>
      <c r="J342" s="12">
        <v>2</v>
      </c>
      <c r="K342" s="13" t="str">
        <f t="shared" ref="K342:K343" si="59">HYPERLINK("http://twitter.com/download/android","Twitter for Android")</f>
        <v>Twitter for Android</v>
      </c>
      <c r="L342" s="12">
        <v>980</v>
      </c>
      <c r="M342" s="12">
        <v>978</v>
      </c>
      <c r="N342" s="12">
        <v>24</v>
      </c>
      <c r="O342" s="15"/>
      <c r="P342" s="6">
        <v>39825.122094907405</v>
      </c>
      <c r="Q342" s="11"/>
      <c r="R342" s="17" t="s">
        <v>2263</v>
      </c>
      <c r="S342" s="14" t="s">
        <v>2264</v>
      </c>
      <c r="T342" s="11"/>
      <c r="U342" s="10" t="str">
        <f>HYPERLINK("https://pbs.twimg.com/profile_images/2298118940/n1syq3j6iuo4xayioaxj.jpeg","View")</f>
        <v>View</v>
      </c>
    </row>
    <row r="343" spans="1:21" ht="91.8">
      <c r="A343" s="6">
        <v>43427.008356481485</v>
      </c>
      <c r="B343" s="7" t="str">
        <f>HYPERLINK("https://twitter.com/MC5759","@MC5759")</f>
        <v>@MC5759</v>
      </c>
      <c r="C343" s="8" t="s">
        <v>931</v>
      </c>
      <c r="D343" s="9" t="s">
        <v>932</v>
      </c>
      <c r="E343" s="10" t="str">
        <f>HYPERLINK("https://twitter.com/MC5759/status/1065880642762756098","1065880642762756098")</f>
        <v>1065880642762756098</v>
      </c>
      <c r="F343" s="16" t="s">
        <v>935</v>
      </c>
      <c r="G343" s="14" t="s">
        <v>936</v>
      </c>
      <c r="H343" s="11"/>
      <c r="I343" s="12">
        <v>2</v>
      </c>
      <c r="J343" s="12">
        <v>0</v>
      </c>
      <c r="K343" s="13" t="str">
        <f t="shared" si="59"/>
        <v>Twitter for Android</v>
      </c>
      <c r="L343" s="12">
        <v>708</v>
      </c>
      <c r="M343" s="12">
        <v>1526</v>
      </c>
      <c r="N343" s="12">
        <v>21</v>
      </c>
      <c r="O343" s="15"/>
      <c r="P343" s="6">
        <v>40565.510625000003</v>
      </c>
      <c r="Q343" s="11"/>
      <c r="R343" s="17" t="s">
        <v>937</v>
      </c>
      <c r="S343" s="11"/>
      <c r="T343" s="11"/>
      <c r="U343" s="10" t="str">
        <f>HYPERLINK("https://pbs.twimg.com/profile_images/3497704962/3f6607229444e360616081df23a744f0.jpeg","View")</f>
        <v>View</v>
      </c>
    </row>
    <row r="344" spans="1:21" ht="30.6">
      <c r="A344" s="6">
        <v>43427.00782407407</v>
      </c>
      <c r="B344" s="7" t="str">
        <f>HYPERLINK("https://twitter.com/HoyPorHoy","@HoyPorHoy")</f>
        <v>@HoyPorHoy</v>
      </c>
      <c r="C344" s="8" t="s">
        <v>919</v>
      </c>
      <c r="D344" s="9" t="s">
        <v>2271</v>
      </c>
      <c r="E344" s="10" t="str">
        <f>HYPERLINK("https://twitter.com/HoyPorHoy/status/1065880447354191872","1065880447354191872")</f>
        <v>1065880447354191872</v>
      </c>
      <c r="F344" s="14" t="s">
        <v>781</v>
      </c>
      <c r="G344" s="14" t="s">
        <v>2273</v>
      </c>
      <c r="H344" s="11"/>
      <c r="I344" s="12">
        <v>6</v>
      </c>
      <c r="J344" s="12">
        <v>8</v>
      </c>
      <c r="K344" s="13" t="str">
        <f>HYPERLINK("http://snappytv.com","SnappyTV.com")</f>
        <v>SnappyTV.com</v>
      </c>
      <c r="L344" s="12">
        <v>151238</v>
      </c>
      <c r="M344" s="12">
        <v>547</v>
      </c>
      <c r="N344" s="12">
        <v>1950</v>
      </c>
      <c r="O344" s="18" t="s">
        <v>52</v>
      </c>
      <c r="P344" s="6">
        <v>40524.4375</v>
      </c>
      <c r="Q344" s="16" t="s">
        <v>924</v>
      </c>
      <c r="R344" s="17" t="s">
        <v>925</v>
      </c>
      <c r="S344" s="14" t="s">
        <v>926</v>
      </c>
      <c r="T344" s="11"/>
      <c r="U344" s="10" t="str">
        <f>HYPERLINK("https://pbs.twimg.com/profile_images/1048055720007163905/tEd_7iXy.jpg","View")</f>
        <v>View</v>
      </c>
    </row>
    <row r="345" spans="1:21" ht="40.799999999999997">
      <c r="A345" s="6">
        <v>43427.006469907406</v>
      </c>
      <c r="B345" s="7" t="str">
        <f>HYPERLINK("https://twitter.com/PiPirrana_","@PiPirrana_")</f>
        <v>@PiPirrana_</v>
      </c>
      <c r="C345" s="8" t="s">
        <v>2277</v>
      </c>
      <c r="D345" s="9" t="s">
        <v>2278</v>
      </c>
      <c r="E345" s="10" t="str">
        <f>HYPERLINK("https://twitter.com/PiPirrana_/status/1065879958776627200","1065879958776627200")</f>
        <v>1065879958776627200</v>
      </c>
      <c r="F345" s="11"/>
      <c r="G345" s="11"/>
      <c r="H345" s="11"/>
      <c r="I345" s="12">
        <v>0</v>
      </c>
      <c r="J345" s="12">
        <v>0</v>
      </c>
      <c r="K345" s="13" t="str">
        <f>HYPERLINK("http://twitter.com/download/android","Twitter for Android")</f>
        <v>Twitter for Android</v>
      </c>
      <c r="L345" s="12">
        <v>605</v>
      </c>
      <c r="M345" s="12">
        <v>644</v>
      </c>
      <c r="N345" s="12">
        <v>6</v>
      </c>
      <c r="O345" s="15"/>
      <c r="P345" s="6">
        <v>41015.555196759262</v>
      </c>
      <c r="Q345" s="16" t="s">
        <v>2282</v>
      </c>
      <c r="R345" s="17" t="s">
        <v>2284</v>
      </c>
      <c r="S345" s="11"/>
      <c r="T345" s="11"/>
      <c r="U345" s="10" t="str">
        <f>HYPERLINK("https://pbs.twimg.com/profile_images/1051828378347683840/y_lYGxOV.jpg","View")</f>
        <v>View</v>
      </c>
    </row>
    <row r="346" spans="1:21" ht="61.2">
      <c r="A346" s="6">
        <v>43427.006365740745</v>
      </c>
      <c r="B346" s="7" t="str">
        <f>HYPERLINK("https://twitter.com/4ever_frog","@4ever_frog")</f>
        <v>@4ever_frog</v>
      </c>
      <c r="C346" s="8" t="s">
        <v>938</v>
      </c>
      <c r="D346" s="9" t="s">
        <v>939</v>
      </c>
      <c r="E346" s="10" t="str">
        <f>HYPERLINK("https://twitter.com/4ever_frog/status/1065879918754623488","1065879918754623488")</f>
        <v>1065879918754623488</v>
      </c>
      <c r="F346" s="14" t="s">
        <v>940</v>
      </c>
      <c r="G346" s="11"/>
      <c r="H346" s="11"/>
      <c r="I346" s="12">
        <v>1</v>
      </c>
      <c r="J346" s="12">
        <v>3</v>
      </c>
      <c r="K346" s="13" t="str">
        <f t="shared" ref="K346:K347" si="60">HYPERLINK("http://twitter.com","Twitter Web Client")</f>
        <v>Twitter Web Client</v>
      </c>
      <c r="L346" s="12">
        <v>151</v>
      </c>
      <c r="M346" s="12">
        <v>217</v>
      </c>
      <c r="N346" s="12">
        <v>3</v>
      </c>
      <c r="O346" s="15"/>
      <c r="P346" s="6">
        <v>42435.801608796297</v>
      </c>
      <c r="Q346" s="16" t="s">
        <v>93</v>
      </c>
      <c r="R346" s="19"/>
      <c r="S346" s="14" t="s">
        <v>941</v>
      </c>
      <c r="T346" s="11"/>
      <c r="U346" s="10" t="str">
        <f>HYPERLINK("https://pbs.twimg.com/profile_images/706702585642745857/srJN7zYn.jpg","View")</f>
        <v>View</v>
      </c>
    </row>
    <row r="347" spans="1:21" ht="40.799999999999997">
      <c r="A347" s="6">
        <v>43427.006273148145</v>
      </c>
      <c r="B347" s="7" t="str">
        <f>HYPERLINK("https://twitter.com/AxtwaMin","@AxtwaMin")</f>
        <v>@AxtwaMin</v>
      </c>
      <c r="C347" s="8" t="s">
        <v>2292</v>
      </c>
      <c r="D347" s="9" t="s">
        <v>2293</v>
      </c>
      <c r="E347" s="10" t="str">
        <f>HYPERLINK("https://twitter.com/AxtwaMin/status/1065879886164832258","1065879886164832258")</f>
        <v>1065879886164832258</v>
      </c>
      <c r="F347" s="11"/>
      <c r="G347" s="11"/>
      <c r="H347" s="11"/>
      <c r="I347" s="12">
        <v>0</v>
      </c>
      <c r="J347" s="12">
        <v>4</v>
      </c>
      <c r="K347" s="13" t="str">
        <f t="shared" si="60"/>
        <v>Twitter Web Client</v>
      </c>
      <c r="L347" s="12">
        <v>642</v>
      </c>
      <c r="M347" s="12">
        <v>268</v>
      </c>
      <c r="N347" s="12">
        <v>4</v>
      </c>
      <c r="O347" s="15"/>
      <c r="P347" s="6">
        <v>41790.050682870373</v>
      </c>
      <c r="Q347" s="16" t="s">
        <v>2295</v>
      </c>
      <c r="R347" s="17" t="s">
        <v>2296</v>
      </c>
      <c r="S347" s="14" t="s">
        <v>2297</v>
      </c>
      <c r="T347" s="11"/>
      <c r="U347" s="10" t="str">
        <f>HYPERLINK("https://pbs.twimg.com/profile_images/638161119048105985/eEsG_b2G.jpg","View")</f>
        <v>View</v>
      </c>
    </row>
    <row r="348" spans="1:21" ht="51">
      <c r="A348" s="6">
        <v>43427.005949074075</v>
      </c>
      <c r="B348" s="7" t="str">
        <f>HYPERLINK("https://twitter.com/HoyPorHoy","@HoyPorHoy")</f>
        <v>@HoyPorHoy</v>
      </c>
      <c r="C348" s="8" t="s">
        <v>919</v>
      </c>
      <c r="D348" s="9" t="s">
        <v>2300</v>
      </c>
      <c r="E348" s="10" t="str">
        <f>HYPERLINK("https://twitter.com/HoyPorHoy/status/1065879767805640705","1065879767805640705")</f>
        <v>1065879767805640705</v>
      </c>
      <c r="F348" s="14" t="s">
        <v>781</v>
      </c>
      <c r="G348" s="14" t="s">
        <v>936</v>
      </c>
      <c r="H348" s="11"/>
      <c r="I348" s="12">
        <v>3</v>
      </c>
      <c r="J348" s="12">
        <v>6</v>
      </c>
      <c r="K348" s="13" t="str">
        <f>HYPERLINK("http://snappytv.com","SnappyTV.com")</f>
        <v>SnappyTV.com</v>
      </c>
      <c r="L348" s="12">
        <v>151238</v>
      </c>
      <c r="M348" s="12">
        <v>547</v>
      </c>
      <c r="N348" s="12">
        <v>1950</v>
      </c>
      <c r="O348" s="18" t="s">
        <v>52</v>
      </c>
      <c r="P348" s="6">
        <v>40524.4375</v>
      </c>
      <c r="Q348" s="16" t="s">
        <v>924</v>
      </c>
      <c r="R348" s="17" t="s">
        <v>925</v>
      </c>
      <c r="S348" s="14" t="s">
        <v>926</v>
      </c>
      <c r="T348" s="11"/>
      <c r="U348" s="10" t="str">
        <f>HYPERLINK("https://pbs.twimg.com/profile_images/1048055720007163905/tEd_7iXy.jpg","View")</f>
        <v>View</v>
      </c>
    </row>
    <row r="349" spans="1:21" ht="112.2">
      <c r="A349" s="6">
        <v>43427.005682870367</v>
      </c>
      <c r="B349" s="7" t="str">
        <f>HYPERLINK("https://twitter.com/HOPE443135511","@HOPE443135511")</f>
        <v>@HOPE443135511</v>
      </c>
      <c r="C349" s="8" t="s">
        <v>942</v>
      </c>
      <c r="D349" s="9" t="s">
        <v>943</v>
      </c>
      <c r="E349" s="10" t="str">
        <f>HYPERLINK("https://twitter.com/HOPE443135511/status/1065879672003665920","1065879672003665920")</f>
        <v>1065879672003665920</v>
      </c>
      <c r="F349" s="16" t="s">
        <v>432</v>
      </c>
      <c r="G349" s="11"/>
      <c r="H349" s="11"/>
      <c r="I349" s="12">
        <v>0</v>
      </c>
      <c r="J349" s="12">
        <v>0</v>
      </c>
      <c r="K349" s="13" t="str">
        <f>HYPERLINK("http://twitter.com/download/android","Twitter for Android")</f>
        <v>Twitter for Android</v>
      </c>
      <c r="L349" s="12">
        <v>119</v>
      </c>
      <c r="M349" s="12">
        <v>110</v>
      </c>
      <c r="N349" s="12">
        <v>3</v>
      </c>
      <c r="O349" s="15"/>
      <c r="P349" s="6">
        <v>43153.367974537032</v>
      </c>
      <c r="Q349" s="11"/>
      <c r="R349" s="17" t="s">
        <v>944</v>
      </c>
      <c r="S349" s="11"/>
      <c r="T349" s="11"/>
      <c r="U349" s="10" t="str">
        <f>HYPERLINK("https://pbs.twimg.com/profile_images/1058503385903779841/TVhPon7D.jpg","View")</f>
        <v>View</v>
      </c>
    </row>
    <row r="350" spans="1:21" ht="30.6">
      <c r="A350" s="6">
        <v>43427.003518518519</v>
      </c>
      <c r="B350" s="7" t="str">
        <f>HYPERLINK("https://twitter.com/HoyPorHoy","@HoyPorHoy")</f>
        <v>@HoyPorHoy</v>
      </c>
      <c r="C350" s="8" t="s">
        <v>919</v>
      </c>
      <c r="D350" s="9" t="s">
        <v>945</v>
      </c>
      <c r="E350" s="10" t="str">
        <f>HYPERLINK("https://twitter.com/HoyPorHoy/status/1065878888021180417","1065878888021180417")</f>
        <v>1065878888021180417</v>
      </c>
      <c r="F350" s="14" t="s">
        <v>921</v>
      </c>
      <c r="G350" s="11"/>
      <c r="H350" s="11"/>
      <c r="I350" s="12">
        <v>0</v>
      </c>
      <c r="J350" s="12">
        <v>2</v>
      </c>
      <c r="K350" s="13" t="str">
        <f>HYPERLINK("http://twitter.com","Twitter Web Client")</f>
        <v>Twitter Web Client</v>
      </c>
      <c r="L350" s="12">
        <v>151238</v>
      </c>
      <c r="M350" s="12">
        <v>547</v>
      </c>
      <c r="N350" s="12">
        <v>1950</v>
      </c>
      <c r="O350" s="18" t="s">
        <v>52</v>
      </c>
      <c r="P350" s="6">
        <v>40524.4375</v>
      </c>
      <c r="Q350" s="16" t="s">
        <v>924</v>
      </c>
      <c r="R350" s="17" t="s">
        <v>925</v>
      </c>
      <c r="S350" s="14" t="s">
        <v>926</v>
      </c>
      <c r="T350" s="11"/>
      <c r="U350" s="10" t="str">
        <f>HYPERLINK("https://pbs.twimg.com/profile_images/1048055720007163905/tEd_7iXy.jpg","View")</f>
        <v>View</v>
      </c>
    </row>
    <row r="351" spans="1:21" ht="20.399999999999999">
      <c r="A351" s="6">
        <v>43427.003032407403</v>
      </c>
      <c r="B351" s="7" t="str">
        <f>HYPERLINK("https://twitter.com/La_SER","@La_SER")</f>
        <v>@La_SER</v>
      </c>
      <c r="C351" s="8" t="s">
        <v>924</v>
      </c>
      <c r="D351" s="9" t="s">
        <v>946</v>
      </c>
      <c r="E351" s="10" t="str">
        <f>HYPERLINK("https://twitter.com/La_SER/status/1065878709230546949","1065878709230546949")</f>
        <v>1065878709230546949</v>
      </c>
      <c r="F351" s="14" t="s">
        <v>781</v>
      </c>
      <c r="G351" s="14" t="s">
        <v>947</v>
      </c>
      <c r="H351" s="11"/>
      <c r="I351" s="12">
        <v>0</v>
      </c>
      <c r="J351" s="12">
        <v>3</v>
      </c>
      <c r="K351" s="13" t="str">
        <f>HYPERLINK("https://about.twitter.com/products/tweetdeck","TweetDeck")</f>
        <v>TweetDeck</v>
      </c>
      <c r="L351" s="12">
        <v>1152494</v>
      </c>
      <c r="M351" s="12">
        <v>778</v>
      </c>
      <c r="N351" s="12">
        <v>10623</v>
      </c>
      <c r="O351" s="18" t="s">
        <v>52</v>
      </c>
      <c r="P351" s="6">
        <v>39965.379942129628</v>
      </c>
      <c r="Q351" s="11"/>
      <c r="R351" s="17" t="s">
        <v>948</v>
      </c>
      <c r="S351" s="14" t="s">
        <v>949</v>
      </c>
      <c r="T351" s="11"/>
      <c r="U351" s="10" t="str">
        <f>HYPERLINK("https://pbs.twimg.com/profile_images/1039929065774481409/zsYMDMZj.jpg","View")</f>
        <v>View</v>
      </c>
    </row>
    <row r="352" spans="1:21" ht="81.599999999999994">
      <c r="A352" s="6">
        <v>43427.001319444447</v>
      </c>
      <c r="B352" s="7" t="str">
        <f>HYPERLINK("https://twitter.com/Libert_Democrac","@Libert_Democrac")</f>
        <v>@Libert_Democrac</v>
      </c>
      <c r="C352" s="8" t="s">
        <v>2319</v>
      </c>
      <c r="D352" s="9" t="s">
        <v>2320</v>
      </c>
      <c r="E352" s="10" t="str">
        <f>HYPERLINK("https://twitter.com/Libert_Democrac/status/1065878092021940224","1065878092021940224")</f>
        <v>1065878092021940224</v>
      </c>
      <c r="F352" s="16" t="s">
        <v>795</v>
      </c>
      <c r="G352" s="11"/>
      <c r="H352" s="11"/>
      <c r="I352" s="12">
        <v>7</v>
      </c>
      <c r="J352" s="12">
        <v>7</v>
      </c>
      <c r="K352" s="13" t="str">
        <f>HYPERLINK("http://twitter.com/#!/download/ipad","Twitter for iPad")</f>
        <v>Twitter for iPad</v>
      </c>
      <c r="L352" s="12">
        <v>2218</v>
      </c>
      <c r="M352" s="12">
        <v>1242</v>
      </c>
      <c r="N352" s="12">
        <v>37</v>
      </c>
      <c r="O352" s="15"/>
      <c r="P352" s="6">
        <v>42033.613773148143</v>
      </c>
      <c r="Q352" s="16" t="s">
        <v>407</v>
      </c>
      <c r="R352" s="17" t="s">
        <v>2323</v>
      </c>
      <c r="S352" s="11"/>
      <c r="T352" s="11"/>
      <c r="U352" s="10" t="str">
        <f>HYPERLINK("https://pbs.twimg.com/profile_images/957031877352873985/aXOE-NT2.jpg","View")</f>
        <v>View</v>
      </c>
    </row>
    <row r="353" spans="1:21" ht="51">
      <c r="A353" s="6">
        <v>43427.001307870371</v>
      </c>
      <c r="B353" s="7" t="str">
        <f>HYPERLINK("https://twitter.com/GCBastida","@GCBastida")</f>
        <v>@GCBastida</v>
      </c>
      <c r="C353" s="8" t="s">
        <v>953</v>
      </c>
      <c r="D353" s="9" t="s">
        <v>954</v>
      </c>
      <c r="E353" s="10" t="str">
        <f>HYPERLINK("https://twitter.com/GCBastida/status/1065878086548406272","1065878086548406272")</f>
        <v>1065878086548406272</v>
      </c>
      <c r="F353" s="14" t="s">
        <v>96</v>
      </c>
      <c r="G353" s="11"/>
      <c r="H353" s="11"/>
      <c r="I353" s="12">
        <v>0</v>
      </c>
      <c r="J353" s="12">
        <v>1</v>
      </c>
      <c r="K353" s="13" t="str">
        <f>HYPERLINK("http://twitter.com/download/android","Twitter for Android")</f>
        <v>Twitter for Android</v>
      </c>
      <c r="L353" s="12">
        <v>293</v>
      </c>
      <c r="M353" s="12">
        <v>674</v>
      </c>
      <c r="N353" s="12">
        <v>3</v>
      </c>
      <c r="O353" s="15"/>
      <c r="P353" s="6">
        <v>40815.276273148149</v>
      </c>
      <c r="Q353" s="16" t="s">
        <v>955</v>
      </c>
      <c r="R353" s="17" t="s">
        <v>956</v>
      </c>
      <c r="S353" s="14" t="s">
        <v>957</v>
      </c>
      <c r="T353" s="11"/>
      <c r="U353" s="10" t="str">
        <f>HYPERLINK("https://pbs.twimg.com/profile_images/831091031563202560/tcI8xnsg.jpg","View")</f>
        <v>View</v>
      </c>
    </row>
    <row r="354" spans="1:21" ht="81.599999999999994">
      <c r="A354" s="6">
        <v>43427.001157407409</v>
      </c>
      <c r="B354" s="7" t="str">
        <f>HYPERLINK("https://twitter.com/jalfonzo","@jalfonzo")</f>
        <v>@jalfonzo</v>
      </c>
      <c r="C354" s="8" t="s">
        <v>962</v>
      </c>
      <c r="D354" s="9" t="s">
        <v>963</v>
      </c>
      <c r="E354" s="10" t="str">
        <f>HYPERLINK("https://twitter.com/jalfonzo/status/1065878031250714624","1065878031250714624")</f>
        <v>1065878031250714624</v>
      </c>
      <c r="F354" s="14" t="s">
        <v>964</v>
      </c>
      <c r="G354" s="14" t="s">
        <v>965</v>
      </c>
      <c r="H354" s="11"/>
      <c r="I354" s="12">
        <v>0</v>
      </c>
      <c r="J354" s="12">
        <v>0</v>
      </c>
      <c r="K354" s="13" t="str">
        <f>HYPERLINK("http://twitter.com/download/iphone","Twitter for iPhone")</f>
        <v>Twitter for iPhone</v>
      </c>
      <c r="L354" s="12">
        <v>3637</v>
      </c>
      <c r="M354" s="12">
        <v>4821</v>
      </c>
      <c r="N354" s="12">
        <v>918</v>
      </c>
      <c r="O354" s="15"/>
      <c r="P354" s="6">
        <v>39712.637789351851</v>
      </c>
      <c r="Q354" s="16" t="s">
        <v>406</v>
      </c>
      <c r="R354" s="17" t="s">
        <v>967</v>
      </c>
      <c r="S354" s="14" t="s">
        <v>968</v>
      </c>
      <c r="T354" s="11"/>
      <c r="U354" s="10" t="str">
        <f>HYPERLINK("https://pbs.twimg.com/profile_images/944312820753149952/UcunWtFB.jpg","View")</f>
        <v>View</v>
      </c>
    </row>
    <row r="355" spans="1:21" ht="30.6">
      <c r="A355" s="6">
        <v>43427.000740740739</v>
      </c>
      <c r="B355" s="7" t="str">
        <f>HYPERLINK("https://twitter.com/jordipsalvador","@jordipsalvador")</f>
        <v>@jordipsalvador</v>
      </c>
      <c r="C355" s="8" t="s">
        <v>2336</v>
      </c>
      <c r="D355" s="9" t="s">
        <v>2337</v>
      </c>
      <c r="E355" s="10" t="str">
        <f>HYPERLINK("https://twitter.com/jordipsalvador/status/1065877878762627072","1065877878762627072")</f>
        <v>1065877878762627072</v>
      </c>
      <c r="F355" s="14" t="s">
        <v>2338</v>
      </c>
      <c r="G355" s="11"/>
      <c r="H355" s="11"/>
      <c r="I355" s="12">
        <v>0</v>
      </c>
      <c r="J355" s="12">
        <v>0</v>
      </c>
      <c r="K355" s="13" t="str">
        <f>HYPERLINK("https://ifttt.com","IFTTT")</f>
        <v>IFTTT</v>
      </c>
      <c r="L355" s="12">
        <v>1069</v>
      </c>
      <c r="M355" s="12">
        <v>2238</v>
      </c>
      <c r="N355" s="12">
        <v>79</v>
      </c>
      <c r="O355" s="15"/>
      <c r="P355" s="6">
        <v>40679.434872685189</v>
      </c>
      <c r="Q355" s="16" t="s">
        <v>805</v>
      </c>
      <c r="R355" s="17" t="s">
        <v>2339</v>
      </c>
      <c r="S355" s="14" t="s">
        <v>2340</v>
      </c>
      <c r="T355" s="11"/>
      <c r="U355" s="10" t="str">
        <f>HYPERLINK("https://pbs.twimg.com/profile_images/1041429790044180480/E8YoBssK.jpg","View")</f>
        <v>View</v>
      </c>
    </row>
    <row r="356" spans="1:21" ht="40.799999999999997">
      <c r="A356" s="6">
        <v>43427.000081018516</v>
      </c>
      <c r="B356" s="7" t="str">
        <f>HYPERLINK("https://twitter.com/GallegoRulz","@GallegoRulz")</f>
        <v>@GallegoRulz</v>
      </c>
      <c r="C356" s="8" t="s">
        <v>2346</v>
      </c>
      <c r="D356" s="9" t="s">
        <v>2347</v>
      </c>
      <c r="E356" s="10" t="str">
        <f>HYPERLINK("https://twitter.com/GallegoRulz/status/1065877640287006720","1065877640287006720")</f>
        <v>1065877640287006720</v>
      </c>
      <c r="F356" s="11"/>
      <c r="G356" s="11"/>
      <c r="H356" s="11"/>
      <c r="I356" s="12">
        <v>0</v>
      </c>
      <c r="J356" s="12">
        <v>0</v>
      </c>
      <c r="K356" s="13" t="str">
        <f>HYPERLINK("http://twitter.com/download/android","Twitter for Android")</f>
        <v>Twitter for Android</v>
      </c>
      <c r="L356" s="12">
        <v>242</v>
      </c>
      <c r="M356" s="12">
        <v>529</v>
      </c>
      <c r="N356" s="12">
        <v>1</v>
      </c>
      <c r="O356" s="15"/>
      <c r="P356" s="6">
        <v>40458.518842592595</v>
      </c>
      <c r="Q356" s="16" t="s">
        <v>2352</v>
      </c>
      <c r="R356" s="17" t="s">
        <v>2353</v>
      </c>
      <c r="S356" s="11"/>
      <c r="T356" s="11"/>
      <c r="U356" s="10" t="str">
        <f>HYPERLINK("https://pbs.twimg.com/profile_images/973213335767437313/eTndoZz_.jpg","View")</f>
        <v>View</v>
      </c>
    </row>
    <row r="357" spans="1:21" ht="30.6">
      <c r="A357" s="6">
        <v>43426.999722222223</v>
      </c>
      <c r="B357" s="7" t="str">
        <f>HYPERLINK("https://twitter.com/castellanapura","@castellanapura")</f>
        <v>@castellanapura</v>
      </c>
      <c r="C357" s="8" t="s">
        <v>2358</v>
      </c>
      <c r="D357" s="9" t="s">
        <v>1573</v>
      </c>
      <c r="E357" s="10" t="str">
        <f>HYPERLINK("https://twitter.com/castellanapura/status/1065877511438065664","1065877511438065664")</f>
        <v>1065877511438065664</v>
      </c>
      <c r="F357" s="14" t="s">
        <v>1219</v>
      </c>
      <c r="G357" s="11"/>
      <c r="H357" s="11"/>
      <c r="I357" s="12">
        <v>0</v>
      </c>
      <c r="J357" s="12">
        <v>0</v>
      </c>
      <c r="K357" s="13" t="str">
        <f>HYPERLINK("http://twitter.com","Twitter Web Client")</f>
        <v>Twitter Web Client</v>
      </c>
      <c r="L357" s="12">
        <v>2271</v>
      </c>
      <c r="M357" s="12">
        <v>3970</v>
      </c>
      <c r="N357" s="12">
        <v>98</v>
      </c>
      <c r="O357" s="15"/>
      <c r="P357" s="6">
        <v>41264.145324074074</v>
      </c>
      <c r="Q357" s="11"/>
      <c r="R357" s="17" t="s">
        <v>2361</v>
      </c>
      <c r="S357" s="11"/>
      <c r="T357" s="11"/>
      <c r="U357" s="10" t="str">
        <f>HYPERLINK("https://pbs.twimg.com/profile_images/999929581233754112/1NA6LUp0.jpg","View")</f>
        <v>View</v>
      </c>
    </row>
    <row r="358" spans="1:21" ht="40.799999999999997">
      <c r="A358" s="6">
        <v>43426.999606481477</v>
      </c>
      <c r="B358" s="7" t="str">
        <f>HYPERLINK("https://twitter.com/martaluciaruiza","@martaluciaruiza")</f>
        <v>@martaluciaruiza</v>
      </c>
      <c r="C358" s="8" t="s">
        <v>2366</v>
      </c>
      <c r="D358" s="9" t="s">
        <v>2367</v>
      </c>
      <c r="E358" s="10" t="str">
        <f>HYPERLINK("https://twitter.com/martaluciaruiza/status/1065877471806046209","1065877471806046209")</f>
        <v>1065877471806046209</v>
      </c>
      <c r="F358" s="11"/>
      <c r="G358" s="11"/>
      <c r="H358" s="11"/>
      <c r="I358" s="12">
        <v>1</v>
      </c>
      <c r="J358" s="12">
        <v>2</v>
      </c>
      <c r="K358" s="13" t="str">
        <f t="shared" ref="K358:K360" si="61">HYPERLINK("http://twitter.com/download/android","Twitter for Android")</f>
        <v>Twitter for Android</v>
      </c>
      <c r="L358" s="12">
        <v>3102</v>
      </c>
      <c r="M358" s="12">
        <v>3027</v>
      </c>
      <c r="N358" s="12">
        <v>45</v>
      </c>
      <c r="O358" s="15"/>
      <c r="P358" s="6">
        <v>41766.393750000003</v>
      </c>
      <c r="Q358" s="11"/>
      <c r="R358" s="17" t="s">
        <v>2370</v>
      </c>
      <c r="S358" s="11"/>
      <c r="T358" s="11"/>
      <c r="U358" s="10" t="str">
        <f>HYPERLINK("https://pbs.twimg.com/profile_images/908501011039424512/iCaPYmhN.jpg","View")</f>
        <v>View</v>
      </c>
    </row>
    <row r="359" spans="1:21" ht="30.6">
      <c r="A359" s="6">
        <v>43426.998263888891</v>
      </c>
      <c r="B359" s="7" t="str">
        <f>HYPERLINK("https://twitter.com/RodrigoPerezDeG","@RodrigoPerezDeG")</f>
        <v>@RodrigoPerezDeG</v>
      </c>
      <c r="C359" s="8" t="s">
        <v>970</v>
      </c>
      <c r="D359" s="9" t="s">
        <v>971</v>
      </c>
      <c r="E359" s="10" t="str">
        <f>HYPERLINK("https://twitter.com/RodrigoPerezDeG/status/1065876983329054720","1065876983329054720")</f>
        <v>1065876983329054720</v>
      </c>
      <c r="F359" s="14" t="s">
        <v>973</v>
      </c>
      <c r="G359" s="11"/>
      <c r="H359" s="11"/>
      <c r="I359" s="12">
        <v>1</v>
      </c>
      <c r="J359" s="12">
        <v>1</v>
      </c>
      <c r="K359" s="13" t="str">
        <f t="shared" si="61"/>
        <v>Twitter for Android</v>
      </c>
      <c r="L359" s="12">
        <v>580</v>
      </c>
      <c r="M359" s="12">
        <v>622</v>
      </c>
      <c r="N359" s="12">
        <v>0</v>
      </c>
      <c r="O359" s="15"/>
      <c r="P359" s="6">
        <v>43355.470358796301</v>
      </c>
      <c r="Q359" s="16" t="s">
        <v>974</v>
      </c>
      <c r="R359" s="17" t="s">
        <v>976</v>
      </c>
      <c r="S359" s="14" t="s">
        <v>978</v>
      </c>
      <c r="T359" s="11"/>
      <c r="U359" s="10" t="str">
        <f>HYPERLINK("https://pbs.twimg.com/profile_images/1044473020432175104/WhRCDKJS.jpg","View")</f>
        <v>View</v>
      </c>
    </row>
    <row r="360" spans="1:21" ht="30.6">
      <c r="A360" s="6">
        <v>43426.997719907406</v>
      </c>
      <c r="B360" s="7" t="str">
        <f>HYPERLINK("https://twitter.com/sleepers_0","@sleepers_0")</f>
        <v>@sleepers_0</v>
      </c>
      <c r="C360" s="8" t="s">
        <v>2373</v>
      </c>
      <c r="D360" s="9" t="s">
        <v>2374</v>
      </c>
      <c r="E360" s="10" t="str">
        <f>HYPERLINK("https://twitter.com/sleepers_0/status/1065876784187670528","1065876784187670528")</f>
        <v>1065876784187670528</v>
      </c>
      <c r="F360" s="16" t="s">
        <v>2376</v>
      </c>
      <c r="G360" s="11"/>
      <c r="H360" s="11"/>
      <c r="I360" s="12">
        <v>0</v>
      </c>
      <c r="J360" s="12">
        <v>0</v>
      </c>
      <c r="K360" s="13" t="str">
        <f t="shared" si="61"/>
        <v>Twitter for Android</v>
      </c>
      <c r="L360" s="12">
        <v>487</v>
      </c>
      <c r="M360" s="12">
        <v>501</v>
      </c>
      <c r="N360" s="12">
        <v>4</v>
      </c>
      <c r="O360" s="15"/>
      <c r="P360" s="6">
        <v>41826.205416666664</v>
      </c>
      <c r="Q360" s="11"/>
      <c r="R360" s="19"/>
      <c r="S360" s="11"/>
      <c r="T360" s="11"/>
      <c r="U360" s="10" t="str">
        <f>HYPERLINK("https://pbs.twimg.com/profile_images/562000920494739457/t_VeZJTN.jpeg","View")</f>
        <v>View</v>
      </c>
    </row>
    <row r="361" spans="1:21" ht="40.799999999999997">
      <c r="A361" s="6">
        <v>43426.996527777781</v>
      </c>
      <c r="B361" s="7" t="str">
        <f>HYPERLINK("https://twitter.com/ahorapodemos","@ahorapodemos")</f>
        <v>@ahorapodemos</v>
      </c>
      <c r="C361" s="8" t="s">
        <v>48</v>
      </c>
      <c r="D361" s="9" t="s">
        <v>980</v>
      </c>
      <c r="E361" s="10" t="str">
        <f>HYPERLINK("https://twitter.com/ahorapodemos/status/1065876353327616000","1065876353327616000")</f>
        <v>1065876353327616000</v>
      </c>
      <c r="F361" s="14" t="s">
        <v>981</v>
      </c>
      <c r="G361" s="14" t="s">
        <v>984</v>
      </c>
      <c r="H361" s="11"/>
      <c r="I361" s="12">
        <v>13</v>
      </c>
      <c r="J361" s="12">
        <v>17</v>
      </c>
      <c r="K361" s="13" t="str">
        <f>HYPERLINK("https://studio.twitter.com","Media Studio")</f>
        <v>Media Studio</v>
      </c>
      <c r="L361" s="12">
        <v>1338988</v>
      </c>
      <c r="M361" s="12">
        <v>1529</v>
      </c>
      <c r="N361" s="12">
        <v>5654</v>
      </c>
      <c r="O361" s="18" t="s">
        <v>52</v>
      </c>
      <c r="P361" s="6">
        <v>41651.201979166668</v>
      </c>
      <c r="Q361" s="16" t="s">
        <v>54</v>
      </c>
      <c r="R361" s="17" t="s">
        <v>56</v>
      </c>
      <c r="S361" s="14" t="s">
        <v>58</v>
      </c>
      <c r="T361" s="11"/>
      <c r="U361" s="10" t="str">
        <f>HYPERLINK("https://pbs.twimg.com/profile_images/1036536413548892160/J0K-j7cz.jpg","View")</f>
        <v>View</v>
      </c>
    </row>
    <row r="362" spans="1:21" ht="30.6">
      <c r="A362" s="6">
        <v>43426.99417824074</v>
      </c>
      <c r="B362" s="7" t="str">
        <f>HYPERLINK("https://twitter.com/Rexurdir","@Rexurdir")</f>
        <v>@Rexurdir</v>
      </c>
      <c r="C362" s="8" t="s">
        <v>2380</v>
      </c>
      <c r="D362" s="9" t="s">
        <v>2382</v>
      </c>
      <c r="E362" s="10" t="str">
        <f>HYPERLINK("https://twitter.com/Rexurdir/status/1065875501636624384","1065875501636624384")</f>
        <v>1065875501636624384</v>
      </c>
      <c r="F362" s="11"/>
      <c r="G362" s="11"/>
      <c r="H362" s="11"/>
      <c r="I362" s="12">
        <v>1</v>
      </c>
      <c r="J362" s="12">
        <v>9</v>
      </c>
      <c r="K362" s="13" t="str">
        <f>HYPERLINK("http://twitter.com/download/android","Twitter for Android")</f>
        <v>Twitter for Android</v>
      </c>
      <c r="L362" s="12">
        <v>3059</v>
      </c>
      <c r="M362" s="12">
        <v>1425</v>
      </c>
      <c r="N362" s="12">
        <v>37</v>
      </c>
      <c r="O362" s="15"/>
      <c r="P362" s="6">
        <v>41972.387650462959</v>
      </c>
      <c r="Q362" s="11"/>
      <c r="R362" s="17" t="s">
        <v>2384</v>
      </c>
      <c r="S362" s="11"/>
      <c r="T362" s="11"/>
      <c r="U362" s="10" t="str">
        <f>HYPERLINK("https://pbs.twimg.com/profile_images/949778906755862529/5R0irJFl.jpg","View")</f>
        <v>View</v>
      </c>
    </row>
    <row r="363" spans="1:21" ht="20.399999999999999">
      <c r="A363" s="6">
        <v>43426.9924537037</v>
      </c>
      <c r="B363" s="7" t="str">
        <f>HYPERLINK("https://twitter.com/Eugenio63098874","@Eugenio63098874")</f>
        <v>@Eugenio63098874</v>
      </c>
      <c r="C363" s="8" t="s">
        <v>2385</v>
      </c>
      <c r="D363" s="9" t="s">
        <v>2386</v>
      </c>
      <c r="E363" s="10" t="str">
        <f>HYPERLINK("https://twitter.com/Eugenio63098874/status/1065874875905130496","1065874875905130496")</f>
        <v>1065874875905130496</v>
      </c>
      <c r="F363" s="11"/>
      <c r="G363" s="11"/>
      <c r="H363" s="11"/>
      <c r="I363" s="12">
        <v>0</v>
      </c>
      <c r="J363" s="12">
        <v>1</v>
      </c>
      <c r="K363" s="13" t="str">
        <f>HYPERLINK("http://twitter.com","Twitter Web Client")</f>
        <v>Twitter Web Client</v>
      </c>
      <c r="L363" s="12">
        <v>22</v>
      </c>
      <c r="M363" s="12">
        <v>318</v>
      </c>
      <c r="N363" s="12">
        <v>0</v>
      </c>
      <c r="O363" s="15"/>
      <c r="P363" s="6">
        <v>43189.290138888886</v>
      </c>
      <c r="Q363" s="11"/>
      <c r="R363" s="19"/>
      <c r="S363" s="11"/>
      <c r="T363" s="11"/>
      <c r="U363" s="10" t="str">
        <f>HYPERLINK("https://pbs.twimg.com/profile_images/1044637518631710720/L1M74q26.jpg","View")</f>
        <v>View</v>
      </c>
    </row>
    <row r="364" spans="1:21" ht="40.799999999999997">
      <c r="A364" s="6">
        <v>43426.990891203706</v>
      </c>
      <c r="B364" s="7" t="str">
        <f>HYPERLINK("https://twitter.com/TecnoBotijo","@TecnoBotijo")</f>
        <v>@TecnoBotijo</v>
      </c>
      <c r="C364" s="8" t="s">
        <v>2392</v>
      </c>
      <c r="D364" s="9" t="s">
        <v>2393</v>
      </c>
      <c r="E364" s="10" t="str">
        <f>HYPERLINK("https://twitter.com/TecnoBotijo/status/1065874312450764800","1065874312450764800")</f>
        <v>1065874312450764800</v>
      </c>
      <c r="F364" s="11"/>
      <c r="G364" s="14" t="s">
        <v>2395</v>
      </c>
      <c r="H364" s="11"/>
      <c r="I364" s="12">
        <v>0</v>
      </c>
      <c r="J364" s="12">
        <v>0</v>
      </c>
      <c r="K364" s="13" t="str">
        <f>HYPERLINK("http://twitter.com/download/android","Twitter for Android")</f>
        <v>Twitter for Android</v>
      </c>
      <c r="L364" s="12">
        <v>6917</v>
      </c>
      <c r="M364" s="12">
        <v>401</v>
      </c>
      <c r="N364" s="12">
        <v>71</v>
      </c>
      <c r="O364" s="15"/>
      <c r="P364" s="6">
        <v>41948.419479166667</v>
      </c>
      <c r="Q364" s="16" t="s">
        <v>2396</v>
      </c>
      <c r="R364" s="17" t="s">
        <v>2398</v>
      </c>
      <c r="S364" s="14" t="s">
        <v>2400</v>
      </c>
      <c r="T364" s="11"/>
      <c r="U364" s="10" t="str">
        <f>HYPERLINK("https://pbs.twimg.com/profile_images/950702626756231168/IAiRmbbc.jpg","View")</f>
        <v>View</v>
      </c>
    </row>
    <row r="365" spans="1:21" ht="71.400000000000006">
      <c r="A365" s="6">
        <v>43426.990648148145</v>
      </c>
      <c r="B365" s="7" t="str">
        <f>HYPERLINK("https://twitter.com/ViCe_CT","@ViCe_CT")</f>
        <v>@ViCe_CT</v>
      </c>
      <c r="C365" s="8" t="s">
        <v>985</v>
      </c>
      <c r="D365" s="9" t="s">
        <v>986</v>
      </c>
      <c r="E365" s="10" t="str">
        <f>HYPERLINK("https://twitter.com/ViCe_CT/status/1065874224630378497","1065874224630378497")</f>
        <v>1065874224630378497</v>
      </c>
      <c r="F365" s="16" t="s">
        <v>795</v>
      </c>
      <c r="G365" s="11"/>
      <c r="H365" s="11"/>
      <c r="I365" s="12">
        <v>0</v>
      </c>
      <c r="J365" s="12">
        <v>0</v>
      </c>
      <c r="K365" s="13" t="str">
        <f t="shared" ref="K365:K366" si="62">HYPERLINK("http://twitter.com","Twitter Web Client")</f>
        <v>Twitter Web Client</v>
      </c>
      <c r="L365" s="12">
        <v>1194</v>
      </c>
      <c r="M365" s="12">
        <v>1136</v>
      </c>
      <c r="N365" s="12">
        <v>36</v>
      </c>
      <c r="O365" s="15"/>
      <c r="P365" s="6">
        <v>40625.127754629633</v>
      </c>
      <c r="Q365" s="16" t="s">
        <v>987</v>
      </c>
      <c r="R365" s="17" t="s">
        <v>988</v>
      </c>
      <c r="S365" s="14" t="s">
        <v>989</v>
      </c>
      <c r="T365" s="11"/>
      <c r="U365" s="10" t="str">
        <f>HYPERLINK("https://pbs.twimg.com/profile_images/608290614992584704/5d7DV_C2.png","View")</f>
        <v>View</v>
      </c>
    </row>
    <row r="366" spans="1:21" ht="13.2">
      <c r="A366" s="6">
        <v>43426.990393518514</v>
      </c>
      <c r="B366" s="7" t="str">
        <f>HYPERLINK("https://twitter.com/AlfonsoRojoPD","@AlfonsoRojoPD")</f>
        <v>@AlfonsoRojoPD</v>
      </c>
      <c r="C366" s="8" t="s">
        <v>2411</v>
      </c>
      <c r="D366" s="9" t="s">
        <v>2413</v>
      </c>
      <c r="E366" s="10" t="str">
        <f>HYPERLINK("https://twitter.com/AlfonsoRojoPD/status/1065874132649295872","1065874132649295872")</f>
        <v>1065874132649295872</v>
      </c>
      <c r="F366" s="14" t="s">
        <v>2416</v>
      </c>
      <c r="G366" s="11"/>
      <c r="H366" s="11"/>
      <c r="I366" s="12">
        <v>3</v>
      </c>
      <c r="J366" s="12">
        <v>8</v>
      </c>
      <c r="K366" s="13" t="str">
        <f t="shared" si="62"/>
        <v>Twitter Web Client</v>
      </c>
      <c r="L366" s="12">
        <v>48931</v>
      </c>
      <c r="M366" s="12">
        <v>0</v>
      </c>
      <c r="N366" s="12">
        <v>670</v>
      </c>
      <c r="O366" s="18" t="s">
        <v>52</v>
      </c>
      <c r="P366" s="6">
        <v>41704.072048611109</v>
      </c>
      <c r="Q366" s="16" t="s">
        <v>38</v>
      </c>
      <c r="R366" s="17" t="s">
        <v>2419</v>
      </c>
      <c r="S366" s="14" t="s">
        <v>2024</v>
      </c>
      <c r="T366" s="11"/>
      <c r="U366" s="10" t="str">
        <f>HYPERLINK("https://pbs.twimg.com/profile_images/441511791210663936/QbI_6aXh.jpeg","View")</f>
        <v>View</v>
      </c>
    </row>
    <row r="367" spans="1:21" ht="20.399999999999999">
      <c r="A367" s="6">
        <v>43426.989293981482</v>
      </c>
      <c r="B367" s="7" t="str">
        <f>HYPERLINK("https://twitter.com/gaspar_celaya","@gaspar_celaya")</f>
        <v>@gaspar_celaya</v>
      </c>
      <c r="C367" s="8" t="s">
        <v>2423</v>
      </c>
      <c r="D367" s="9" t="s">
        <v>768</v>
      </c>
      <c r="E367" s="10" t="str">
        <f>HYPERLINK("https://twitter.com/gaspar_celaya/status/1065873732886032384","1065873732886032384")</f>
        <v>1065873732886032384</v>
      </c>
      <c r="F367" s="14" t="s">
        <v>529</v>
      </c>
      <c r="G367" s="11"/>
      <c r="H367" s="11"/>
      <c r="I367" s="12">
        <v>0</v>
      </c>
      <c r="J367" s="12">
        <v>0</v>
      </c>
      <c r="K367" s="13" t="str">
        <f>HYPERLINK("http://twitter.com/download/iphone","Twitter for iPhone")</f>
        <v>Twitter for iPhone</v>
      </c>
      <c r="L367" s="12">
        <v>148</v>
      </c>
      <c r="M367" s="12">
        <v>85</v>
      </c>
      <c r="N367" s="12">
        <v>3</v>
      </c>
      <c r="O367" s="15"/>
      <c r="P367" s="6">
        <v>42335.331076388888</v>
      </c>
      <c r="Q367" s="11"/>
      <c r="R367" s="17" t="s">
        <v>2429</v>
      </c>
      <c r="S367" s="14" t="s">
        <v>2430</v>
      </c>
      <c r="T367" s="11"/>
      <c r="U367" s="10" t="str">
        <f>HYPERLINK("https://pbs.twimg.com/profile_images/1049263683233357824/BZCUYNH9.jpg","View")</f>
        <v>View</v>
      </c>
    </row>
    <row r="368" spans="1:21" ht="61.2">
      <c r="A368" s="6">
        <v>43426.989050925928</v>
      </c>
      <c r="B368" s="7" t="str">
        <f>HYPERLINK("https://twitter.com/ViCe_CT","@ViCe_CT")</f>
        <v>@ViCe_CT</v>
      </c>
      <c r="C368" s="8" t="s">
        <v>985</v>
      </c>
      <c r="D368" s="9" t="s">
        <v>990</v>
      </c>
      <c r="E368" s="10" t="str">
        <f>HYPERLINK("https://twitter.com/ViCe_CT/status/1065873642603667456","1065873642603667456")</f>
        <v>1065873642603667456</v>
      </c>
      <c r="F368" s="14" t="s">
        <v>992</v>
      </c>
      <c r="G368" s="14" t="s">
        <v>993</v>
      </c>
      <c r="H368" s="11"/>
      <c r="I368" s="12">
        <v>0</v>
      </c>
      <c r="J368" s="12">
        <v>0</v>
      </c>
      <c r="K368" s="13" t="str">
        <f>HYPERLINK("http://twitter.com","Twitter Web Client")</f>
        <v>Twitter Web Client</v>
      </c>
      <c r="L368" s="12">
        <v>1194</v>
      </c>
      <c r="M368" s="12">
        <v>1136</v>
      </c>
      <c r="N368" s="12">
        <v>36</v>
      </c>
      <c r="O368" s="15"/>
      <c r="P368" s="6">
        <v>40625.127754629633</v>
      </c>
      <c r="Q368" s="16" t="s">
        <v>987</v>
      </c>
      <c r="R368" s="17" t="s">
        <v>988</v>
      </c>
      <c r="S368" s="14" t="s">
        <v>989</v>
      </c>
      <c r="T368" s="11"/>
      <c r="U368" s="10" t="str">
        <f>HYPERLINK("https://pbs.twimg.com/profile_images/608290614992584704/5d7DV_C2.png","View")</f>
        <v>View</v>
      </c>
    </row>
    <row r="369" spans="1:21" ht="20.399999999999999">
      <c r="A369" s="6">
        <v>43426.985092592593</v>
      </c>
      <c r="B369" s="7" t="str">
        <f>HYPERLINK("https://twitter.com/periodistadigit","@periodistadigit")</f>
        <v>@periodistadigit</v>
      </c>
      <c r="C369" s="8" t="s">
        <v>2016</v>
      </c>
      <c r="D369" s="9" t="s">
        <v>2441</v>
      </c>
      <c r="E369" s="10" t="str">
        <f>HYPERLINK("https://twitter.com/periodistadigit/status/1065872211226050560","1065872211226050560")</f>
        <v>1065872211226050560</v>
      </c>
      <c r="F369" s="14" t="s">
        <v>973</v>
      </c>
      <c r="G369" s="11"/>
      <c r="H369" s="11"/>
      <c r="I369" s="12">
        <v>20</v>
      </c>
      <c r="J369" s="12">
        <v>15</v>
      </c>
      <c r="K369" s="13" t="str">
        <f t="shared" ref="K369:K370" si="63">HYPERLINK("https://about.twitter.com/products/tweetdeck","TweetDeck")</f>
        <v>TweetDeck</v>
      </c>
      <c r="L369" s="12">
        <v>56096</v>
      </c>
      <c r="M369" s="12">
        <v>3790</v>
      </c>
      <c r="N369" s="12">
        <v>1471</v>
      </c>
      <c r="O369" s="18" t="s">
        <v>52</v>
      </c>
      <c r="P369" s="6">
        <v>40084.541296296295</v>
      </c>
      <c r="Q369" s="16" t="s">
        <v>38</v>
      </c>
      <c r="R369" s="17" t="s">
        <v>2023</v>
      </c>
      <c r="S369" s="14" t="s">
        <v>2024</v>
      </c>
      <c r="T369" s="11"/>
      <c r="U369" s="10" t="str">
        <f>HYPERLINK("https://pbs.twimg.com/profile_images/1913331873/periodista-digital.jpg","View")</f>
        <v>View</v>
      </c>
    </row>
    <row r="370" spans="1:21" ht="13.2">
      <c r="A370" s="6">
        <v>43426.985034722224</v>
      </c>
      <c r="B370" s="7" t="str">
        <f>HYPERLINK("https://twitter.com/juanvelarde72","@juanvelarde72")</f>
        <v>@juanvelarde72</v>
      </c>
      <c r="C370" s="8" t="s">
        <v>2449</v>
      </c>
      <c r="D370" s="9" t="s">
        <v>2441</v>
      </c>
      <c r="E370" s="10" t="str">
        <f>HYPERLINK("https://twitter.com/juanvelarde72/status/1065872189247897600","1065872189247897600")</f>
        <v>1065872189247897600</v>
      </c>
      <c r="F370" s="14" t="s">
        <v>973</v>
      </c>
      <c r="G370" s="11"/>
      <c r="H370" s="11"/>
      <c r="I370" s="12">
        <v>3</v>
      </c>
      <c r="J370" s="12">
        <v>0</v>
      </c>
      <c r="K370" s="13" t="str">
        <f t="shared" si="63"/>
        <v>TweetDeck</v>
      </c>
      <c r="L370" s="12">
        <v>1615</v>
      </c>
      <c r="M370" s="12">
        <v>1578</v>
      </c>
      <c r="N370" s="12">
        <v>22</v>
      </c>
      <c r="O370" s="15"/>
      <c r="P370" s="6">
        <v>42289.58222222222</v>
      </c>
      <c r="Q370" s="16" t="s">
        <v>87</v>
      </c>
      <c r="R370" s="19"/>
      <c r="S370" s="14" t="s">
        <v>2451</v>
      </c>
      <c r="T370" s="11"/>
      <c r="U370" s="10" t="str">
        <f>HYPERLINK("https://pbs.twimg.com/profile_images/996096460885233664/fOo4zl1U.jpg","View")</f>
        <v>View</v>
      </c>
    </row>
    <row r="371" spans="1:21" ht="40.799999999999997">
      <c r="A371" s="6">
        <v>43426.98364583333</v>
      </c>
      <c r="B371" s="7" t="str">
        <f>HYPERLINK("https://twitter.com/aurelio_fdez","@aurelio_fdez")</f>
        <v>@aurelio_fdez</v>
      </c>
      <c r="C371" s="8" t="s">
        <v>2456</v>
      </c>
      <c r="D371" s="9" t="s">
        <v>2457</v>
      </c>
      <c r="E371" s="10" t="str">
        <f>HYPERLINK("https://twitter.com/aurelio_fdez/status/1065871687932133376","1065871687932133376")</f>
        <v>1065871687932133376</v>
      </c>
      <c r="F371" s="11"/>
      <c r="G371" s="11"/>
      <c r="H371" s="11"/>
      <c r="I371" s="12">
        <v>1</v>
      </c>
      <c r="J371" s="12">
        <v>0</v>
      </c>
      <c r="K371" s="13" t="str">
        <f>HYPERLINK("http://twitter.com/download/iphone","Twitter for iPhone")</f>
        <v>Twitter for iPhone</v>
      </c>
      <c r="L371" s="12">
        <v>2299</v>
      </c>
      <c r="M371" s="12">
        <v>451</v>
      </c>
      <c r="N371" s="12">
        <v>116</v>
      </c>
      <c r="O371" s="15"/>
      <c r="P371" s="6">
        <v>40635.019456018519</v>
      </c>
      <c r="Q371" s="16" t="s">
        <v>38</v>
      </c>
      <c r="R371" s="17" t="s">
        <v>2460</v>
      </c>
      <c r="S371" s="11"/>
      <c r="T371" s="11"/>
      <c r="U371" s="10" t="str">
        <f>HYPERLINK("https://pbs.twimg.com/profile_images/972528409808121856/nG9kNTxs.jpg","View")</f>
        <v>View</v>
      </c>
    </row>
    <row r="372" spans="1:21" ht="30.6">
      <c r="A372" s="6">
        <v>43426.982951388884</v>
      </c>
      <c r="B372" s="7" t="str">
        <f>HYPERLINK("https://twitter.com/PabloCantabriaI","@PabloCantabriaI")</f>
        <v>@PabloCantabriaI</v>
      </c>
      <c r="C372" s="8" t="s">
        <v>996</v>
      </c>
      <c r="D372" s="9" t="s">
        <v>997</v>
      </c>
      <c r="E372" s="10" t="str">
        <f>HYPERLINK("https://twitter.com/PabloCantabriaI/status/1065871434583547906","1065871434583547906")</f>
        <v>1065871434583547906</v>
      </c>
      <c r="F372" s="14" t="s">
        <v>998</v>
      </c>
      <c r="G372" s="11"/>
      <c r="H372" s="11"/>
      <c r="I372" s="12">
        <v>0</v>
      </c>
      <c r="J372" s="12">
        <v>0</v>
      </c>
      <c r="K372" s="13" t="str">
        <f t="shared" ref="K372:K373" si="64">HYPERLINK("http://twitter.com/download/android","Twitter for Android")</f>
        <v>Twitter for Android</v>
      </c>
      <c r="L372" s="12">
        <v>522</v>
      </c>
      <c r="M372" s="12">
        <v>2206</v>
      </c>
      <c r="N372" s="12">
        <v>4</v>
      </c>
      <c r="O372" s="15"/>
      <c r="P372" s="6">
        <v>41305.520613425928</v>
      </c>
      <c r="Q372" s="16" t="s">
        <v>999</v>
      </c>
      <c r="R372" s="17" t="s">
        <v>1000</v>
      </c>
      <c r="S372" s="14" t="s">
        <v>1001</v>
      </c>
      <c r="T372" s="11"/>
      <c r="U372" s="10" t="str">
        <f>HYPERLINK("https://pbs.twimg.com/profile_images/872754502113341441/yGSF27ZY.jpg","View")</f>
        <v>View</v>
      </c>
    </row>
    <row r="373" spans="1:21" ht="51">
      <c r="A373" s="6">
        <v>43426.97761574074</v>
      </c>
      <c r="B373" s="7" t="str">
        <f>HYPERLINK("https://twitter.com/lejonathan84","@lejonathan84")</f>
        <v>@lejonathan84</v>
      </c>
      <c r="C373" s="8" t="s">
        <v>1002</v>
      </c>
      <c r="D373" s="9" t="s">
        <v>1003</v>
      </c>
      <c r="E373" s="10" t="str">
        <f>HYPERLINK("https://twitter.com/lejonathan84/status/1065869500959129601","1065869500959129601")</f>
        <v>1065869500959129601</v>
      </c>
      <c r="F373" s="11"/>
      <c r="G373" s="14" t="s">
        <v>1004</v>
      </c>
      <c r="H373" s="11"/>
      <c r="I373" s="12">
        <v>0</v>
      </c>
      <c r="J373" s="12">
        <v>0</v>
      </c>
      <c r="K373" s="13" t="str">
        <f t="shared" si="64"/>
        <v>Twitter for Android</v>
      </c>
      <c r="L373" s="12">
        <v>617</v>
      </c>
      <c r="M373" s="12">
        <v>1631</v>
      </c>
      <c r="N373" s="12">
        <v>18</v>
      </c>
      <c r="O373" s="15"/>
      <c r="P373" s="6">
        <v>40234.662418981483</v>
      </c>
      <c r="Q373" s="16" t="s">
        <v>1005</v>
      </c>
      <c r="R373" s="17" t="s">
        <v>1006</v>
      </c>
      <c r="S373" s="11"/>
      <c r="T373" s="11"/>
      <c r="U373" s="10" t="str">
        <f>HYPERLINK("https://pbs.twimg.com/profile_images/1002979559388712960/8OYfuwwB.jpg","View")</f>
        <v>View</v>
      </c>
    </row>
    <row r="374" spans="1:21" ht="30.6">
      <c r="A374" s="6">
        <v>43426.976666666669</v>
      </c>
      <c r="B374" s="7" t="str">
        <f>HYPERLINK("https://twitter.com/nickelyayo","@nickelyayo")</f>
        <v>@nickelyayo</v>
      </c>
      <c r="C374" s="8" t="s">
        <v>1007</v>
      </c>
      <c r="D374" s="9" t="s">
        <v>1008</v>
      </c>
      <c r="E374" s="10" t="str">
        <f>HYPERLINK("https://twitter.com/nickelyayo/status/1065869154605969408","1065869154605969408")</f>
        <v>1065869154605969408</v>
      </c>
      <c r="F374" s="14" t="s">
        <v>289</v>
      </c>
      <c r="G374" s="11"/>
      <c r="H374" s="11"/>
      <c r="I374" s="12">
        <v>0</v>
      </c>
      <c r="J374" s="12">
        <v>0</v>
      </c>
      <c r="K374" s="13" t="str">
        <f>HYPERLINK("http://twitter.com/download/iphone","Twitter for iPhone")</f>
        <v>Twitter for iPhone</v>
      </c>
      <c r="L374" s="12">
        <v>337</v>
      </c>
      <c r="M374" s="12">
        <v>1496</v>
      </c>
      <c r="N374" s="12">
        <v>2</v>
      </c>
      <c r="O374" s="15"/>
      <c r="P374" s="6">
        <v>40223.305023148147</v>
      </c>
      <c r="Q374" s="16" t="s">
        <v>1009</v>
      </c>
      <c r="R374" s="17" t="s">
        <v>1010</v>
      </c>
      <c r="S374" s="11"/>
      <c r="T374" s="11"/>
      <c r="U374" s="10" t="str">
        <f>HYPERLINK("https://pbs.twimg.com/profile_images/1040188772820942848/hBKgIHhI.jpg","View")</f>
        <v>View</v>
      </c>
    </row>
    <row r="375" spans="1:21" ht="40.799999999999997">
      <c r="A375" s="6">
        <v>43426.975995370369</v>
      </c>
      <c r="B375" s="7" t="str">
        <f>HYPERLINK("https://twitter.com/BCNSentidoComun","@BCNSentidoComun")</f>
        <v>@BCNSentidoComun</v>
      </c>
      <c r="C375" s="8" t="s">
        <v>2479</v>
      </c>
      <c r="D375" s="9" t="s">
        <v>2480</v>
      </c>
      <c r="E375" s="10" t="str">
        <f>HYPERLINK("https://twitter.com/BCNSentidoComun/status/1065868914352115713","1065868914352115713")</f>
        <v>1065868914352115713</v>
      </c>
      <c r="F375" s="14" t="s">
        <v>2481</v>
      </c>
      <c r="G375" s="11"/>
      <c r="H375" s="11"/>
      <c r="I375" s="12">
        <v>0</v>
      </c>
      <c r="J375" s="12">
        <v>0</v>
      </c>
      <c r="K375" s="13" t="str">
        <f t="shared" ref="K375:K378" si="65">HYPERLINK("http://twitter.com/download/android","Twitter for Android")</f>
        <v>Twitter for Android</v>
      </c>
      <c r="L375" s="12">
        <v>129</v>
      </c>
      <c r="M375" s="12">
        <v>399</v>
      </c>
      <c r="N375" s="12">
        <v>0</v>
      </c>
      <c r="O375" s="15"/>
      <c r="P375" s="6">
        <v>43039.594490740739</v>
      </c>
      <c r="Q375" s="16" t="s">
        <v>406</v>
      </c>
      <c r="R375" s="17" t="s">
        <v>2482</v>
      </c>
      <c r="S375" s="11"/>
      <c r="T375" s="11"/>
      <c r="U375" s="10" t="str">
        <f>HYPERLINK("https://pbs.twimg.com/profile_images/927263610287607808/vn8wv3aN.jpg","View")</f>
        <v>View</v>
      </c>
    </row>
    <row r="376" spans="1:21" ht="30.6">
      <c r="A376" s="6">
        <v>43426.97520833333</v>
      </c>
      <c r="B376" s="7" t="str">
        <f>HYPERLINK("https://twitter.com/Herrero1946Jose","@Herrero1946Jose")</f>
        <v>@Herrero1946Jose</v>
      </c>
      <c r="C376" s="8" t="s">
        <v>2486</v>
      </c>
      <c r="D376" s="9" t="s">
        <v>1573</v>
      </c>
      <c r="E376" s="10" t="str">
        <f>HYPERLINK("https://twitter.com/Herrero1946Jose/status/1065868626220253184","1065868626220253184")</f>
        <v>1065868626220253184</v>
      </c>
      <c r="F376" s="14" t="s">
        <v>1316</v>
      </c>
      <c r="G376" s="11"/>
      <c r="H376" s="11"/>
      <c r="I376" s="12">
        <v>0</v>
      </c>
      <c r="J376" s="12">
        <v>0</v>
      </c>
      <c r="K376" s="13" t="str">
        <f t="shared" si="65"/>
        <v>Twitter for Android</v>
      </c>
      <c r="L376" s="12">
        <v>1575</v>
      </c>
      <c r="M376" s="12">
        <v>1566</v>
      </c>
      <c r="N376" s="12">
        <v>14</v>
      </c>
      <c r="O376" s="15"/>
      <c r="P376" s="6">
        <v>41692.413263888891</v>
      </c>
      <c r="Q376" s="16" t="s">
        <v>2490</v>
      </c>
      <c r="R376" s="17" t="s">
        <v>2491</v>
      </c>
      <c r="S376" s="11"/>
      <c r="T376" s="11"/>
      <c r="U376" s="10" t="str">
        <f>HYPERLINK("https://pbs.twimg.com/profile_images/660217709758701568/G2Wjj43D.jpg","View")</f>
        <v>View</v>
      </c>
    </row>
    <row r="377" spans="1:21" ht="20.399999999999999">
      <c r="A377" s="6">
        <v>43426.972708333335</v>
      </c>
      <c r="B377" s="7" t="str">
        <f>HYPERLINK("https://twitter.com/Nomeveolachorra","@Nomeveolachorra")</f>
        <v>@Nomeveolachorra</v>
      </c>
      <c r="C377" s="8" t="s">
        <v>2494</v>
      </c>
      <c r="D377" s="9" t="s">
        <v>2495</v>
      </c>
      <c r="E377" s="10" t="str">
        <f>HYPERLINK("https://twitter.com/Nomeveolachorra/status/1065867721181708291","1065867721181708291")</f>
        <v>1065867721181708291</v>
      </c>
      <c r="F377" s="11"/>
      <c r="G377" s="11"/>
      <c r="H377" s="11"/>
      <c r="I377" s="12">
        <v>0</v>
      </c>
      <c r="J377" s="12">
        <v>0</v>
      </c>
      <c r="K377" s="13" t="str">
        <f t="shared" si="65"/>
        <v>Twitter for Android</v>
      </c>
      <c r="L377" s="12">
        <v>14</v>
      </c>
      <c r="M377" s="12">
        <v>41</v>
      </c>
      <c r="N377" s="12">
        <v>0</v>
      </c>
      <c r="O377" s="15"/>
      <c r="P377" s="6">
        <v>43381.268877314811</v>
      </c>
      <c r="Q377" s="11"/>
      <c r="R377" s="17" t="s">
        <v>2496</v>
      </c>
      <c r="S377" s="11"/>
      <c r="T377" s="11"/>
      <c r="U377" s="10" t="str">
        <f>HYPERLINK("https://pbs.twimg.com/profile_images/1049296591197282304/nJazOmBc.jpg","View")</f>
        <v>View</v>
      </c>
    </row>
    <row r="378" spans="1:21" ht="40.799999999999997">
      <c r="A378" s="6">
        <v>43426.970254629632</v>
      </c>
      <c r="B378" s="7" t="str">
        <f>HYPERLINK("https://twitter.com/SantiagoLupeBCN","@SantiagoLupeBCN")</f>
        <v>@SantiagoLupeBCN</v>
      </c>
      <c r="C378" s="8" t="s">
        <v>1011</v>
      </c>
      <c r="D378" s="9" t="s">
        <v>1012</v>
      </c>
      <c r="E378" s="10" t="str">
        <f>HYPERLINK("https://twitter.com/SantiagoLupeBCN/status/1065866833214021632","1065866833214021632")</f>
        <v>1065866833214021632</v>
      </c>
      <c r="F378" s="14" t="s">
        <v>1013</v>
      </c>
      <c r="G378" s="11"/>
      <c r="H378" s="11"/>
      <c r="I378" s="12">
        <v>9</v>
      </c>
      <c r="J378" s="12">
        <v>11</v>
      </c>
      <c r="K378" s="13" t="str">
        <f t="shared" si="65"/>
        <v>Twitter for Android</v>
      </c>
      <c r="L378" s="12">
        <v>902</v>
      </c>
      <c r="M378" s="12">
        <v>1107</v>
      </c>
      <c r="N378" s="12">
        <v>26</v>
      </c>
      <c r="O378" s="15"/>
      <c r="P378" s="6">
        <v>41100.08430555556</v>
      </c>
      <c r="Q378" s="16" t="s">
        <v>256</v>
      </c>
      <c r="R378" s="17" t="s">
        <v>1014</v>
      </c>
      <c r="S378" s="14" t="s">
        <v>1015</v>
      </c>
      <c r="T378" s="11"/>
      <c r="U378" s="10" t="str">
        <f>HYPERLINK("https://pbs.twimg.com/profile_images/983738381330010112/C-pSP0-k.jpg","View")</f>
        <v>View</v>
      </c>
    </row>
    <row r="379" spans="1:21" ht="51">
      <c r="A379" s="6">
        <v>43426.963194444441</v>
      </c>
      <c r="B379" s="7" t="str">
        <f>HYPERLINK("https://twitter.com/trendinaliaES","@trendinaliaES")</f>
        <v>@trendinaliaES</v>
      </c>
      <c r="C379" s="8" t="s">
        <v>1016</v>
      </c>
      <c r="D379" s="9" t="s">
        <v>1017</v>
      </c>
      <c r="E379" s="10" t="str">
        <f>HYPERLINK("https://twitter.com/trendinaliaES/status/1065864273295896576","1065864273295896576")</f>
        <v>1065864273295896576</v>
      </c>
      <c r="F379" s="14" t="s">
        <v>1018</v>
      </c>
      <c r="G379" s="11"/>
      <c r="H379" s="11" t="str">
        <f>HYPERLINK("https://ctrlq.org/maps/address/#40.4203,-3.7058","Map")</f>
        <v>Map</v>
      </c>
      <c r="I379" s="12">
        <v>0</v>
      </c>
      <c r="J379" s="12">
        <v>0</v>
      </c>
      <c r="K379" s="13" t="str">
        <f>HYPERLINK("http://laconversa.com","Es Tendencia en España")</f>
        <v>Es Tendencia en España</v>
      </c>
      <c r="L379" s="12">
        <v>49141</v>
      </c>
      <c r="M379" s="12">
        <v>37</v>
      </c>
      <c r="N379" s="12">
        <v>723</v>
      </c>
      <c r="O379" s="18" t="s">
        <v>52</v>
      </c>
      <c r="P379" s="6">
        <v>41319.444074074076</v>
      </c>
      <c r="Q379" s="16" t="s">
        <v>28</v>
      </c>
      <c r="R379" s="17" t="s">
        <v>1019</v>
      </c>
      <c r="S379" s="14" t="s">
        <v>1020</v>
      </c>
      <c r="T379" s="11"/>
      <c r="U379" s="10" t="str">
        <f>HYPERLINK("https://pbs.twimg.com/profile_images/696485210821632000/xpdMQ_mE.png","View")</f>
        <v>View</v>
      </c>
    </row>
    <row r="380" spans="1:21" ht="30.6">
      <c r="A380" s="6">
        <v>43426.962592592594</v>
      </c>
      <c r="B380" s="7" t="str">
        <f>HYPERLINK("https://twitter.com/antesandres","@antesandres")</f>
        <v>@antesandres</v>
      </c>
      <c r="C380" s="8" t="s">
        <v>2506</v>
      </c>
      <c r="D380" s="9" t="s">
        <v>2507</v>
      </c>
      <c r="E380" s="10" t="str">
        <f>HYPERLINK("https://twitter.com/antesandres/status/1065864055699791872","1065864055699791872")</f>
        <v>1065864055699791872</v>
      </c>
      <c r="F380" s="14" t="s">
        <v>529</v>
      </c>
      <c r="G380" s="11"/>
      <c r="H380" s="11"/>
      <c r="I380" s="12">
        <v>0</v>
      </c>
      <c r="J380" s="12">
        <v>0</v>
      </c>
      <c r="K380" s="13" t="str">
        <f t="shared" ref="K380:K381" si="66">HYPERLINK("http://twitter.com","Twitter Web Client")</f>
        <v>Twitter Web Client</v>
      </c>
      <c r="L380" s="12">
        <v>42</v>
      </c>
      <c r="M380" s="12">
        <v>65</v>
      </c>
      <c r="N380" s="12">
        <v>3</v>
      </c>
      <c r="O380" s="15"/>
      <c r="P380" s="6">
        <v>42372.444687499999</v>
      </c>
      <c r="Q380" s="16" t="s">
        <v>2510</v>
      </c>
      <c r="R380" s="17" t="s">
        <v>2511</v>
      </c>
      <c r="S380" s="11"/>
      <c r="T380" s="11"/>
      <c r="U380" s="10" t="str">
        <f>HYPERLINK("https://pbs.twimg.com/profile_images/683737590919507969/iWdyOXr7.jpg","View")</f>
        <v>View</v>
      </c>
    </row>
    <row r="381" spans="1:21" ht="40.799999999999997">
      <c r="A381" s="6">
        <v>43426.961643518516</v>
      </c>
      <c r="B381" s="7" t="str">
        <f>HYPERLINK("https://twitter.com/NemesisSXX","@NemesisSXX")</f>
        <v>@NemesisSXX</v>
      </c>
      <c r="C381" s="8" t="s">
        <v>2512</v>
      </c>
      <c r="D381" s="9" t="s">
        <v>1573</v>
      </c>
      <c r="E381" s="10" t="str">
        <f>HYPERLINK("https://twitter.com/NemesisSXX/status/1065863713939435521","1065863713939435521")</f>
        <v>1065863713939435521</v>
      </c>
      <c r="F381" s="14" t="s">
        <v>1316</v>
      </c>
      <c r="G381" s="11"/>
      <c r="H381" s="11"/>
      <c r="I381" s="12">
        <v>0</v>
      </c>
      <c r="J381" s="12">
        <v>0</v>
      </c>
      <c r="K381" s="13" t="str">
        <f t="shared" si="66"/>
        <v>Twitter Web Client</v>
      </c>
      <c r="L381" s="12">
        <v>145</v>
      </c>
      <c r="M381" s="12">
        <v>185</v>
      </c>
      <c r="N381" s="12">
        <v>3</v>
      </c>
      <c r="O381" s="15"/>
      <c r="P381" s="6">
        <v>41804.368564814817</v>
      </c>
      <c r="Q381" s="11"/>
      <c r="R381" s="17" t="s">
        <v>2516</v>
      </c>
      <c r="S381" s="11"/>
      <c r="T381" s="11"/>
      <c r="U381" s="18" t="s">
        <v>168</v>
      </c>
    </row>
    <row r="382" spans="1:21" ht="30.6">
      <c r="A382" s="6">
        <v>43426.954594907409</v>
      </c>
      <c r="B382" s="7" t="str">
        <f>HYPERLINK("https://twitter.com/kdjxbxvs","@kdjxbxvs")</f>
        <v>@kdjxbxvs</v>
      </c>
      <c r="C382" s="8" t="s">
        <v>1021</v>
      </c>
      <c r="D382" s="9" t="s">
        <v>1022</v>
      </c>
      <c r="E382" s="10" t="str">
        <f>HYPERLINK("https://twitter.com/kdjxbxvs/status/1065861159738359808","1065861159738359808")</f>
        <v>1065861159738359808</v>
      </c>
      <c r="F382" s="11"/>
      <c r="G382" s="11"/>
      <c r="H382" s="11"/>
      <c r="I382" s="12">
        <v>0</v>
      </c>
      <c r="J382" s="12">
        <v>0</v>
      </c>
      <c r="K382" s="13" t="str">
        <f t="shared" ref="K382:K383" si="67">HYPERLINK("http://twitter.com/download/android","Twitter for Android")</f>
        <v>Twitter for Android</v>
      </c>
      <c r="L382" s="12">
        <v>89</v>
      </c>
      <c r="M382" s="12">
        <v>584</v>
      </c>
      <c r="N382" s="12">
        <v>4</v>
      </c>
      <c r="O382" s="15"/>
      <c r="P382" s="6">
        <v>42392.477696759262</v>
      </c>
      <c r="Q382" s="11"/>
      <c r="R382" s="19"/>
      <c r="S382" s="11"/>
      <c r="T382" s="11"/>
      <c r="U382" s="10" t="str">
        <f>HYPERLINK("https://pbs.twimg.com/profile_images/834138794781704192/tai-9n8_.jpg","View")</f>
        <v>View</v>
      </c>
    </row>
    <row r="383" spans="1:21" ht="51">
      <c r="A383" s="6">
        <v>43426.951041666667</v>
      </c>
      <c r="B383" s="7" t="str">
        <f>HYPERLINK("https://twitter.com/bizzentte","@bizzentte")</f>
        <v>@bizzentte</v>
      </c>
      <c r="C383" s="8" t="s">
        <v>1023</v>
      </c>
      <c r="D383" s="9" t="s">
        <v>1024</v>
      </c>
      <c r="E383" s="10" t="str">
        <f>HYPERLINK("https://twitter.com/bizzentte/status/1065859870384099328","1065859870384099328")</f>
        <v>1065859870384099328</v>
      </c>
      <c r="F383" s="14" t="s">
        <v>1025</v>
      </c>
      <c r="G383" s="11"/>
      <c r="H383" s="11"/>
      <c r="I383" s="12">
        <v>0</v>
      </c>
      <c r="J383" s="12">
        <v>0</v>
      </c>
      <c r="K383" s="13" t="str">
        <f t="shared" si="67"/>
        <v>Twitter for Android</v>
      </c>
      <c r="L383" s="12">
        <v>1936</v>
      </c>
      <c r="M383" s="12">
        <v>1920</v>
      </c>
      <c r="N383" s="12">
        <v>52</v>
      </c>
      <c r="O383" s="15"/>
      <c r="P383" s="6">
        <v>40110.767025462963</v>
      </c>
      <c r="Q383" s="16" t="s">
        <v>28</v>
      </c>
      <c r="R383" s="17" t="s">
        <v>1026</v>
      </c>
      <c r="S383" s="14" t="s">
        <v>1027</v>
      </c>
      <c r="T383" s="11"/>
      <c r="U383" s="10" t="str">
        <f>HYPERLINK("https://pbs.twimg.com/profile_images/898760126101946368/B0hdlg8N.jpg","View")</f>
        <v>View</v>
      </c>
    </row>
    <row r="384" spans="1:21" ht="30.6">
      <c r="A384" s="6">
        <v>43426.945034722223</v>
      </c>
      <c r="B384" s="7" t="str">
        <f t="shared" ref="B384:B385" si="68">HYPERLINK("https://twitter.com/pedroglezglez","@pedroglezglez")</f>
        <v>@pedroglezglez</v>
      </c>
      <c r="C384" s="8" t="s">
        <v>1028</v>
      </c>
      <c r="D384" s="9" t="s">
        <v>1029</v>
      </c>
      <c r="E384" s="10" t="str">
        <f>HYPERLINK("https://twitter.com/pedroglezglez/status/1065857693225750529","1065857693225750529")</f>
        <v>1065857693225750529</v>
      </c>
      <c r="F384" s="11"/>
      <c r="G384" s="11"/>
      <c r="H384" s="11"/>
      <c r="I384" s="12">
        <v>0</v>
      </c>
      <c r="J384" s="12">
        <v>0</v>
      </c>
      <c r="K384" s="13" t="str">
        <f t="shared" ref="K384:K385" si="69">HYPERLINK("http://twitter.com","Twitter Web Client")</f>
        <v>Twitter Web Client</v>
      </c>
      <c r="L384" s="12">
        <v>335</v>
      </c>
      <c r="M384" s="12">
        <v>690</v>
      </c>
      <c r="N384" s="12">
        <v>6</v>
      </c>
      <c r="O384" s="15"/>
      <c r="P384" s="6">
        <v>40999.207071759258</v>
      </c>
      <c r="Q384" s="16" t="s">
        <v>1030</v>
      </c>
      <c r="R384" s="17" t="s">
        <v>1031</v>
      </c>
      <c r="S384" s="11"/>
      <c r="T384" s="11"/>
      <c r="U384" s="10" t="str">
        <f t="shared" ref="U384:U385" si="70">HYPERLINK("https://pbs.twimg.com/profile_images/845407876797607942/u5Gf2gOy.jpg","View")</f>
        <v>View</v>
      </c>
    </row>
    <row r="385" spans="1:21" ht="30.6">
      <c r="A385" s="6">
        <v>43426.942847222221</v>
      </c>
      <c r="B385" s="7" t="str">
        <f t="shared" si="68"/>
        <v>@pedroglezglez</v>
      </c>
      <c r="C385" s="8" t="s">
        <v>1028</v>
      </c>
      <c r="D385" s="9" t="s">
        <v>1032</v>
      </c>
      <c r="E385" s="10" t="str">
        <f>HYPERLINK("https://twitter.com/pedroglezglez/status/1065856898967183360","1065856898967183360")</f>
        <v>1065856898967183360</v>
      </c>
      <c r="F385" s="11"/>
      <c r="G385" s="11"/>
      <c r="H385" s="11"/>
      <c r="I385" s="12">
        <v>0</v>
      </c>
      <c r="J385" s="12">
        <v>0</v>
      </c>
      <c r="K385" s="13" t="str">
        <f t="shared" si="69"/>
        <v>Twitter Web Client</v>
      </c>
      <c r="L385" s="12">
        <v>335</v>
      </c>
      <c r="M385" s="12">
        <v>690</v>
      </c>
      <c r="N385" s="12">
        <v>6</v>
      </c>
      <c r="O385" s="15"/>
      <c r="P385" s="6">
        <v>40999.207071759258</v>
      </c>
      <c r="Q385" s="16" t="s">
        <v>1030</v>
      </c>
      <c r="R385" s="17" t="s">
        <v>1031</v>
      </c>
      <c r="S385" s="11"/>
      <c r="T385" s="11"/>
      <c r="U385" s="10" t="str">
        <f t="shared" si="70"/>
        <v>View</v>
      </c>
    </row>
    <row r="386" spans="1:21" ht="40.799999999999997">
      <c r="A386" s="6">
        <v>43426.942337962959</v>
      </c>
      <c r="B386" s="7" t="str">
        <f>HYPERLINK("https://twitter.com/NosManipulan","@NosManipulan")</f>
        <v>@NosManipulan</v>
      </c>
      <c r="C386" s="8" t="s">
        <v>2529</v>
      </c>
      <c r="D386" s="9" t="s">
        <v>2530</v>
      </c>
      <c r="E386" s="10" t="str">
        <f>HYPERLINK("https://twitter.com/NosManipulan/status/1065856714350649344","1065856714350649344")</f>
        <v>1065856714350649344</v>
      </c>
      <c r="F386" s="11"/>
      <c r="G386" s="14" t="s">
        <v>2531</v>
      </c>
      <c r="H386" s="11"/>
      <c r="I386" s="12">
        <v>0</v>
      </c>
      <c r="J386" s="12">
        <v>3</v>
      </c>
      <c r="K386" s="13" t="str">
        <f>HYPERLINK("http://twitter.com/download/iphone","Twitter for iPhone")</f>
        <v>Twitter for iPhone</v>
      </c>
      <c r="L386" s="12">
        <v>4030</v>
      </c>
      <c r="M386" s="12">
        <v>103</v>
      </c>
      <c r="N386" s="12">
        <v>17</v>
      </c>
      <c r="O386" s="15"/>
      <c r="P386" s="6">
        <v>42745.245590277773</v>
      </c>
      <c r="Q386" s="16" t="s">
        <v>2532</v>
      </c>
      <c r="R386" s="17" t="s">
        <v>2533</v>
      </c>
      <c r="S386" s="11"/>
      <c r="T386" s="11"/>
      <c r="U386" s="10" t="str">
        <f>HYPERLINK("https://pbs.twimg.com/profile_images/1060533454692061184/R6vwgClF.jpg","View")</f>
        <v>View</v>
      </c>
    </row>
    <row r="387" spans="1:21" ht="20.399999999999999">
      <c r="A387" s="6">
        <v>43426.942094907412</v>
      </c>
      <c r="B387" s="7" t="str">
        <f>HYPERLINK("https://twitter.com/carollm333","@carollm333")</f>
        <v>@carollm333</v>
      </c>
      <c r="C387" s="8" t="s">
        <v>2536</v>
      </c>
      <c r="D387" s="9" t="s">
        <v>768</v>
      </c>
      <c r="E387" s="10" t="str">
        <f>HYPERLINK("https://twitter.com/carollm333/status/1065856628346560513","1065856628346560513")</f>
        <v>1065856628346560513</v>
      </c>
      <c r="F387" s="14" t="s">
        <v>529</v>
      </c>
      <c r="G387" s="11"/>
      <c r="H387" s="11"/>
      <c r="I387" s="12">
        <v>0</v>
      </c>
      <c r="J387" s="12">
        <v>0</v>
      </c>
      <c r="K387" s="13" t="str">
        <f t="shared" ref="K387:K388" si="71">HYPERLINK("http://twitter.com","Twitter Web Client")</f>
        <v>Twitter Web Client</v>
      </c>
      <c r="L387" s="12">
        <v>1214</v>
      </c>
      <c r="M387" s="12">
        <v>1038</v>
      </c>
      <c r="N387" s="12">
        <v>79</v>
      </c>
      <c r="O387" s="15"/>
      <c r="P387" s="6">
        <v>40577.436874999999</v>
      </c>
      <c r="Q387" s="11"/>
      <c r="R387" s="19"/>
      <c r="S387" s="11"/>
      <c r="T387" s="11"/>
      <c r="U387" s="10" t="str">
        <f>HYPERLINK("https://pbs.twimg.com/profile_images/1002860850015817729/9pVXZX1m.jpg","View")</f>
        <v>View</v>
      </c>
    </row>
    <row r="388" spans="1:21" ht="30.6">
      <c r="A388" s="6">
        <v>43426.941817129627</v>
      </c>
      <c r="B388" s="7" t="str">
        <f>HYPERLINK("https://twitter.com/pedroglezglez","@pedroglezglez")</f>
        <v>@pedroglezglez</v>
      </c>
      <c r="C388" s="8" t="s">
        <v>1028</v>
      </c>
      <c r="D388" s="9" t="s">
        <v>768</v>
      </c>
      <c r="E388" s="10" t="str">
        <f>HYPERLINK("https://twitter.com/pedroglezglez/status/1065856528790507525","1065856528790507525")</f>
        <v>1065856528790507525</v>
      </c>
      <c r="F388" s="14" t="s">
        <v>529</v>
      </c>
      <c r="G388" s="11"/>
      <c r="H388" s="11"/>
      <c r="I388" s="12">
        <v>0</v>
      </c>
      <c r="J388" s="12">
        <v>0</v>
      </c>
      <c r="K388" s="13" t="str">
        <f t="shared" si="71"/>
        <v>Twitter Web Client</v>
      </c>
      <c r="L388" s="12">
        <v>335</v>
      </c>
      <c r="M388" s="12">
        <v>690</v>
      </c>
      <c r="N388" s="12">
        <v>6</v>
      </c>
      <c r="O388" s="15"/>
      <c r="P388" s="6">
        <v>40999.207071759258</v>
      </c>
      <c r="Q388" s="16" t="s">
        <v>1030</v>
      </c>
      <c r="R388" s="17" t="s">
        <v>1031</v>
      </c>
      <c r="S388" s="11"/>
      <c r="T388" s="11"/>
      <c r="U388" s="10" t="str">
        <f>HYPERLINK("https://pbs.twimg.com/profile_images/845407876797607942/u5Gf2gOy.jpg","View")</f>
        <v>View</v>
      </c>
    </row>
    <row r="389" spans="1:21" ht="51">
      <c r="A389" s="6">
        <v>43426.940578703703</v>
      </c>
      <c r="B389" s="7" t="str">
        <f>HYPERLINK("https://twitter.com/AJLeftist","@AJLeftist")</f>
        <v>@AJLeftist</v>
      </c>
      <c r="C389" s="8" t="s">
        <v>2541</v>
      </c>
      <c r="D389" s="9" t="s">
        <v>2542</v>
      </c>
      <c r="E389" s="10" t="str">
        <f>HYPERLINK("https://twitter.com/AJLeftist/status/1065856079882567680","1065856079882567680")</f>
        <v>1065856079882567680</v>
      </c>
      <c r="F389" s="11"/>
      <c r="G389" s="11"/>
      <c r="H389" s="11"/>
      <c r="I389" s="12">
        <v>0</v>
      </c>
      <c r="J389" s="12">
        <v>1</v>
      </c>
      <c r="K389" s="13" t="str">
        <f t="shared" ref="K389:K390" si="72">HYPERLINK("http://twitter.com/download/android","Twitter for Android")</f>
        <v>Twitter for Android</v>
      </c>
      <c r="L389" s="12">
        <v>790</v>
      </c>
      <c r="M389" s="12">
        <v>799</v>
      </c>
      <c r="N389" s="12">
        <v>26</v>
      </c>
      <c r="O389" s="15"/>
      <c r="P389" s="6">
        <v>39454.374780092592</v>
      </c>
      <c r="Q389" s="16" t="s">
        <v>38</v>
      </c>
      <c r="R389" s="17" t="s">
        <v>2544</v>
      </c>
      <c r="S389" s="11"/>
      <c r="T389" s="11"/>
      <c r="U389" s="10" t="str">
        <f>HYPERLINK("https://pbs.twimg.com/profile_images/921751095323619329/8HNNRdHT.jpg","View")</f>
        <v>View</v>
      </c>
    </row>
    <row r="390" spans="1:21" ht="40.799999999999997">
      <c r="A390" s="6">
        <v>43426.935335648144</v>
      </c>
      <c r="B390" s="7" t="str">
        <f>HYPERLINK("https://twitter.com/ediazrms","@ediazrms")</f>
        <v>@ediazrms</v>
      </c>
      <c r="C390" s="8" t="s">
        <v>2545</v>
      </c>
      <c r="D390" s="9" t="s">
        <v>2546</v>
      </c>
      <c r="E390" s="10" t="str">
        <f>HYPERLINK("https://twitter.com/ediazrms/status/1065854177442697216","1065854177442697216")</f>
        <v>1065854177442697216</v>
      </c>
      <c r="F390" s="14" t="s">
        <v>529</v>
      </c>
      <c r="G390" s="11"/>
      <c r="H390" s="11"/>
      <c r="I390" s="12">
        <v>0</v>
      </c>
      <c r="J390" s="12">
        <v>1</v>
      </c>
      <c r="K390" s="13" t="str">
        <f t="shared" si="72"/>
        <v>Twitter for Android</v>
      </c>
      <c r="L390" s="12">
        <v>453</v>
      </c>
      <c r="M390" s="12">
        <v>397</v>
      </c>
      <c r="N390" s="12">
        <v>25</v>
      </c>
      <c r="O390" s="15"/>
      <c r="P390" s="6">
        <v>40197.464016203703</v>
      </c>
      <c r="Q390" s="16" t="s">
        <v>87</v>
      </c>
      <c r="R390" s="17" t="s">
        <v>2549</v>
      </c>
      <c r="S390" s="14" t="s">
        <v>2550</v>
      </c>
      <c r="T390" s="11"/>
      <c r="U390" s="10" t="str">
        <f>HYPERLINK("https://pbs.twimg.com/profile_images/772110882901991424/tO5QAgw1.jpg","View")</f>
        <v>View</v>
      </c>
    </row>
    <row r="391" spans="1:21" ht="81.599999999999994">
      <c r="A391" s="6">
        <v>43426.934733796297</v>
      </c>
      <c r="B391" s="7" t="str">
        <f>HYPERLINK("https://twitter.com/veronica_poleo","@veronica_poleo")</f>
        <v>@veronica_poleo</v>
      </c>
      <c r="C391" s="8" t="s">
        <v>2551</v>
      </c>
      <c r="D391" s="9" t="s">
        <v>2552</v>
      </c>
      <c r="E391" s="10" t="str">
        <f>HYPERLINK("https://twitter.com/veronica_poleo/status/1065853961654190080","1065853961654190080")</f>
        <v>1065853961654190080</v>
      </c>
      <c r="F391" s="14" t="s">
        <v>2553</v>
      </c>
      <c r="G391" s="11"/>
      <c r="H391" s="11"/>
      <c r="I391" s="12">
        <v>0</v>
      </c>
      <c r="J391" s="12">
        <v>0</v>
      </c>
      <c r="K391" s="13" t="str">
        <f t="shared" ref="K391:K392" si="73">HYPERLINK("http://twitter.com/download/iphone","Twitter for iPhone")</f>
        <v>Twitter for iPhone</v>
      </c>
      <c r="L391" s="12">
        <v>1209</v>
      </c>
      <c r="M391" s="12">
        <v>1861</v>
      </c>
      <c r="N391" s="12">
        <v>8</v>
      </c>
      <c r="O391" s="15"/>
      <c r="P391" s="6">
        <v>42305.313171296293</v>
      </c>
      <c r="Q391" s="16" t="s">
        <v>87</v>
      </c>
      <c r="R391" s="17" t="s">
        <v>2556</v>
      </c>
      <c r="S391" s="11"/>
      <c r="T391" s="11"/>
      <c r="U391" s="10" t="str">
        <f>HYPERLINK("https://pbs.twimg.com/profile_images/1064577102807207938/ds6iWzVe.jpg","View")</f>
        <v>View</v>
      </c>
    </row>
    <row r="392" spans="1:21" ht="71.400000000000006">
      <c r="A392" s="6">
        <v>43426.934386574074</v>
      </c>
      <c r="B392" s="7" t="str">
        <f>HYPERLINK("https://twitter.com/hermanntertsch","@hermanntertsch")</f>
        <v>@hermanntertsch</v>
      </c>
      <c r="C392" s="8" t="s">
        <v>2557</v>
      </c>
      <c r="D392" s="9" t="s">
        <v>2558</v>
      </c>
      <c r="E392" s="10" t="str">
        <f>HYPERLINK("https://twitter.com/hermanntertsch/status/1065853833392390144","1065853833392390144")</f>
        <v>1065853833392390144</v>
      </c>
      <c r="F392" s="16" t="s">
        <v>432</v>
      </c>
      <c r="G392" s="11"/>
      <c r="H392" s="11"/>
      <c r="I392" s="12">
        <v>14</v>
      </c>
      <c r="J392" s="12">
        <v>26</v>
      </c>
      <c r="K392" s="13" t="str">
        <f t="shared" si="73"/>
        <v>Twitter for iPhone</v>
      </c>
      <c r="L392" s="12">
        <v>126741</v>
      </c>
      <c r="M392" s="12">
        <v>3124</v>
      </c>
      <c r="N392" s="12">
        <v>2134</v>
      </c>
      <c r="O392" s="15"/>
      <c r="P392" s="6">
        <v>40598.90452546296</v>
      </c>
      <c r="Q392" s="11"/>
      <c r="R392" s="17" t="s">
        <v>2561</v>
      </c>
      <c r="S392" s="11"/>
      <c r="T392" s="11"/>
      <c r="U392" s="10" t="str">
        <f>HYPERLINK("https://pbs.twimg.com/profile_images/857488336243576833/VZ0sdsQO.jpg","View")</f>
        <v>View</v>
      </c>
    </row>
    <row r="393" spans="1:21" ht="40.799999999999997">
      <c r="A393" s="6">
        <v>43426.91805555555</v>
      </c>
      <c r="B393" s="7" t="str">
        <f>HYPERLINK("https://twitter.com/bitMomentum","@bitMomentum")</f>
        <v>@bitMomentum</v>
      </c>
      <c r="C393" s="8" t="s">
        <v>1033</v>
      </c>
      <c r="D393" s="9" t="s">
        <v>1034</v>
      </c>
      <c r="E393" s="10" t="str">
        <f>HYPERLINK("https://twitter.com/bitMomentum/status/1065847915292360704","1065847915292360704")</f>
        <v>1065847915292360704</v>
      </c>
      <c r="F393" s="11"/>
      <c r="G393" s="11"/>
      <c r="H393" s="11"/>
      <c r="I393" s="12">
        <v>0</v>
      </c>
      <c r="J393" s="12">
        <v>0</v>
      </c>
      <c r="K393" s="13" t="str">
        <f>HYPERLINK("http://www.bitmomentum.com","bitMomentum Bot")</f>
        <v>bitMomentum Bot</v>
      </c>
      <c r="L393" s="12">
        <v>10132</v>
      </c>
      <c r="M393" s="12">
        <v>1060</v>
      </c>
      <c r="N393" s="12">
        <v>267</v>
      </c>
      <c r="O393" s="15"/>
      <c r="P393" s="6">
        <v>41608.292511574073</v>
      </c>
      <c r="Q393" s="11"/>
      <c r="R393" s="17" t="s">
        <v>1038</v>
      </c>
      <c r="S393" s="14" t="s">
        <v>1039</v>
      </c>
      <c r="T393" s="11"/>
      <c r="U393" s="10" t="str">
        <f>HYPERLINK("https://pbs.twimg.com/profile_images/378800000862185241/20ij2H3u.png","View")</f>
        <v>View</v>
      </c>
    </row>
    <row r="394" spans="1:21" ht="40.799999999999997">
      <c r="A394" s="6">
        <v>43426.916817129633</v>
      </c>
      <c r="B394" s="7" t="str">
        <f>HYPERLINK("https://twitter.com/el_pais","@el_pais")</f>
        <v>@el_pais</v>
      </c>
      <c r="C394" s="8" t="s">
        <v>1042</v>
      </c>
      <c r="D394" s="9" t="s">
        <v>1043</v>
      </c>
      <c r="E394" s="10" t="str">
        <f>HYPERLINK("https://twitter.com/el_pais/status/1065847469161046017","1065847469161046017")</f>
        <v>1065847469161046017</v>
      </c>
      <c r="F394" s="14" t="s">
        <v>1044</v>
      </c>
      <c r="G394" s="11"/>
      <c r="H394" s="11"/>
      <c r="I394" s="12">
        <v>10</v>
      </c>
      <c r="J394" s="12">
        <v>18</v>
      </c>
      <c r="K394" s="13" t="str">
        <f>HYPERLINK("https://www.hootsuite.com","Hootsuite Inc.")</f>
        <v>Hootsuite Inc.</v>
      </c>
      <c r="L394" s="12">
        <v>6718560</v>
      </c>
      <c r="M394" s="12">
        <v>777</v>
      </c>
      <c r="N394" s="12">
        <v>55920</v>
      </c>
      <c r="O394" s="18" t="s">
        <v>52</v>
      </c>
      <c r="P394" s="6">
        <v>39300.38899305556</v>
      </c>
      <c r="Q394" s="16" t="s">
        <v>38</v>
      </c>
      <c r="R394" s="17" t="s">
        <v>1045</v>
      </c>
      <c r="S394" s="14" t="s">
        <v>1046</v>
      </c>
      <c r="T394" s="11"/>
      <c r="U394" s="10" t="str">
        <f>HYPERLINK("https://pbs.twimg.com/profile_images/815456059322036224/o_RQNEOh.jpg","View")</f>
        <v>View</v>
      </c>
    </row>
    <row r="395" spans="1:21" ht="51">
      <c r="A395" s="6">
        <v>43426.912962962961</v>
      </c>
      <c r="B395" s="7" t="str">
        <f>HYPERLINK("https://twitter.com/Frico75","@Frico75")</f>
        <v>@Frico75</v>
      </c>
      <c r="C395" s="8" t="s">
        <v>2571</v>
      </c>
      <c r="D395" s="9" t="s">
        <v>2572</v>
      </c>
      <c r="E395" s="10" t="str">
        <f>HYPERLINK("https://twitter.com/Frico75/status/1065846073074348032","1065846073074348032")</f>
        <v>1065846073074348032</v>
      </c>
      <c r="F395" s="11"/>
      <c r="G395" s="11"/>
      <c r="H395" s="11"/>
      <c r="I395" s="12">
        <v>0</v>
      </c>
      <c r="J395" s="12">
        <v>0</v>
      </c>
      <c r="K395" s="13" t="str">
        <f t="shared" ref="K395:K396" si="74">HYPERLINK("http://twitter.com/download/android","Twitter for Android")</f>
        <v>Twitter for Android</v>
      </c>
      <c r="L395" s="12">
        <v>76</v>
      </c>
      <c r="M395" s="12">
        <v>761</v>
      </c>
      <c r="N395" s="12">
        <v>3</v>
      </c>
      <c r="O395" s="15"/>
      <c r="P395" s="6">
        <v>43015.25481481482</v>
      </c>
      <c r="Q395" s="16" t="s">
        <v>2579</v>
      </c>
      <c r="R395" s="17" t="s">
        <v>2580</v>
      </c>
      <c r="S395" s="11"/>
      <c r="T395" s="11"/>
      <c r="U395" s="10" t="str">
        <f>HYPERLINK("https://pbs.twimg.com/profile_images/927593642860085248/KsjV5NFb.jpg","View")</f>
        <v>View</v>
      </c>
    </row>
    <row r="396" spans="1:21" ht="51">
      <c r="A396" s="6">
        <v>43426.909166666665</v>
      </c>
      <c r="B396" s="7" t="str">
        <f>HYPERLINK("https://twitter.com/ariasvicente431","@ariasvicente431")</f>
        <v>@ariasvicente431</v>
      </c>
      <c r="C396" s="8" t="s">
        <v>2583</v>
      </c>
      <c r="D396" s="9" t="s">
        <v>2584</v>
      </c>
      <c r="E396" s="10" t="str">
        <f>HYPERLINK("https://twitter.com/ariasvicente431/status/1065844696977686530","1065844696977686530")</f>
        <v>1065844696977686530</v>
      </c>
      <c r="F396" s="14" t="s">
        <v>529</v>
      </c>
      <c r="G396" s="11"/>
      <c r="H396" s="11"/>
      <c r="I396" s="12">
        <v>2</v>
      </c>
      <c r="J396" s="12">
        <v>0</v>
      </c>
      <c r="K396" s="13" t="str">
        <f t="shared" si="74"/>
        <v>Twitter for Android</v>
      </c>
      <c r="L396" s="12">
        <v>2558</v>
      </c>
      <c r="M396" s="12">
        <v>4047</v>
      </c>
      <c r="N396" s="12">
        <v>26</v>
      </c>
      <c r="O396" s="15"/>
      <c r="P396" s="6">
        <v>42370.960706018523</v>
      </c>
      <c r="Q396" s="16" t="s">
        <v>2590</v>
      </c>
      <c r="R396" s="17" t="s">
        <v>2591</v>
      </c>
      <c r="S396" s="11"/>
      <c r="T396" s="11"/>
      <c r="U396" s="10" t="str">
        <f>HYPERLINK("https://pbs.twimg.com/profile_images/1050998342149386240/uw8lhWr6.jpg","View")</f>
        <v>View</v>
      </c>
    </row>
    <row r="397" spans="1:21" ht="51">
      <c r="A397" s="6">
        <v>43426.9066087963</v>
      </c>
      <c r="B397" s="7" t="str">
        <f>HYPERLINK("https://twitter.com/ADMYS2011","@ADMYS2011")</f>
        <v>@ADMYS2011</v>
      </c>
      <c r="C397" s="8" t="s">
        <v>2595</v>
      </c>
      <c r="D397" s="9" t="s">
        <v>2597</v>
      </c>
      <c r="E397" s="10" t="str">
        <f>HYPERLINK("https://twitter.com/ADMYS2011/status/1065843769294143488","1065843769294143488")</f>
        <v>1065843769294143488</v>
      </c>
      <c r="F397" s="11"/>
      <c r="G397" s="11"/>
      <c r="H397" s="11"/>
      <c r="I397" s="12">
        <v>0</v>
      </c>
      <c r="J397" s="12">
        <v>0</v>
      </c>
      <c r="K397" s="13" t="str">
        <f t="shared" ref="K397:K398" si="75">HYPERLINK("http://twitter.com/download/iphone","Twitter for iPhone")</f>
        <v>Twitter for iPhone</v>
      </c>
      <c r="L397" s="12">
        <v>47</v>
      </c>
      <c r="M397" s="12">
        <v>36</v>
      </c>
      <c r="N397" s="12">
        <v>0</v>
      </c>
      <c r="O397" s="15"/>
      <c r="P397" s="6">
        <v>40769.578958333332</v>
      </c>
      <c r="Q397" s="16" t="s">
        <v>28</v>
      </c>
      <c r="R397" s="19"/>
      <c r="S397" s="11"/>
      <c r="T397" s="11"/>
      <c r="U397" s="10" t="str">
        <f>HYPERLINK("https://pbs.twimg.com/profile_images/1599023129/image.jpg","View")</f>
        <v>View</v>
      </c>
    </row>
    <row r="398" spans="1:21" ht="51">
      <c r="A398" s="6">
        <v>43426.902488425927</v>
      </c>
      <c r="B398" s="7" t="str">
        <f>HYPERLINK("https://twitter.com/drmerkwurdig","@drmerkwurdig")</f>
        <v>@drmerkwurdig</v>
      </c>
      <c r="C398" s="8" t="s">
        <v>1047</v>
      </c>
      <c r="D398" s="9" t="s">
        <v>1048</v>
      </c>
      <c r="E398" s="10" t="str">
        <f>HYPERLINK("https://twitter.com/drmerkwurdig/status/1065842276927197184","1065842276927197184")</f>
        <v>1065842276927197184</v>
      </c>
      <c r="F398" s="14" t="s">
        <v>529</v>
      </c>
      <c r="G398" s="11"/>
      <c r="H398" s="11"/>
      <c r="I398" s="12">
        <v>0</v>
      </c>
      <c r="J398" s="12">
        <v>0</v>
      </c>
      <c r="K398" s="13" t="str">
        <f t="shared" si="75"/>
        <v>Twitter for iPhone</v>
      </c>
      <c r="L398" s="12">
        <v>187</v>
      </c>
      <c r="M398" s="12">
        <v>319</v>
      </c>
      <c r="N398" s="12">
        <v>0</v>
      </c>
      <c r="O398" s="15"/>
      <c r="P398" s="6">
        <v>43041.549421296295</v>
      </c>
      <c r="Q398" s="16" t="s">
        <v>1051</v>
      </c>
      <c r="R398" s="17" t="s">
        <v>1053</v>
      </c>
      <c r="S398" s="11"/>
      <c r="T398" s="11"/>
      <c r="U398" s="10" t="str">
        <f>HYPERLINK("https://pbs.twimg.com/profile_images/926184409392472066/VtF2Uxe4.jpg","View")</f>
        <v>View</v>
      </c>
    </row>
    <row r="399" spans="1:21" ht="51">
      <c r="A399" s="6">
        <v>43426.902280092589</v>
      </c>
      <c r="B399" s="7" t="str">
        <f>HYPERLINK("https://twitter.com/AlvaroGuzguti","@AlvaroGuzguti")</f>
        <v>@AlvaroGuzguti</v>
      </c>
      <c r="C399" s="8" t="s">
        <v>1054</v>
      </c>
      <c r="D399" s="9" t="s">
        <v>1055</v>
      </c>
      <c r="E399" s="10" t="str">
        <f>HYPERLINK("https://twitter.com/AlvaroGuzguti/status/1065842199961763840","1065842199961763840")</f>
        <v>1065842199961763840</v>
      </c>
      <c r="F399" s="14" t="s">
        <v>289</v>
      </c>
      <c r="G399" s="11"/>
      <c r="H399" s="11"/>
      <c r="I399" s="12">
        <v>0</v>
      </c>
      <c r="J399" s="12">
        <v>0</v>
      </c>
      <c r="K399" s="13" t="str">
        <f t="shared" ref="K399:K401" si="76">HYPERLINK("http://twitter.com/download/android","Twitter for Android")</f>
        <v>Twitter for Android</v>
      </c>
      <c r="L399" s="12">
        <v>269</v>
      </c>
      <c r="M399" s="12">
        <v>989</v>
      </c>
      <c r="N399" s="12">
        <v>5</v>
      </c>
      <c r="O399" s="15"/>
      <c r="P399" s="6">
        <v>41561.577453703707</v>
      </c>
      <c r="Q399" s="16" t="s">
        <v>1059</v>
      </c>
      <c r="R399" s="17" t="s">
        <v>1060</v>
      </c>
      <c r="S399" s="14" t="s">
        <v>1061</v>
      </c>
      <c r="T399" s="11"/>
      <c r="U399" s="10" t="str">
        <f>HYPERLINK("https://pbs.twimg.com/profile_images/1056359447189176321/ru0iUGgj.jpg","View")</f>
        <v>View</v>
      </c>
    </row>
    <row r="400" spans="1:21" ht="30.6">
      <c r="A400" s="6">
        <v>43426.885069444441</v>
      </c>
      <c r="B400" s="7" t="str">
        <f>HYPERLINK("https://twitter.com/Paco_Menendez_","@Paco_Menendez_")</f>
        <v>@Paco_Menendez_</v>
      </c>
      <c r="C400" s="8" t="s">
        <v>1063</v>
      </c>
      <c r="D400" s="9" t="s">
        <v>1064</v>
      </c>
      <c r="E400" s="10" t="str">
        <f>HYPERLINK("https://twitter.com/Paco_Menendez_/status/1065835961249079297","1065835961249079297")</f>
        <v>1065835961249079297</v>
      </c>
      <c r="F400" s="14" t="s">
        <v>529</v>
      </c>
      <c r="G400" s="11"/>
      <c r="H400" s="11"/>
      <c r="I400" s="12">
        <v>0</v>
      </c>
      <c r="J400" s="12">
        <v>0</v>
      </c>
      <c r="K400" s="13" t="str">
        <f t="shared" si="76"/>
        <v>Twitter for Android</v>
      </c>
      <c r="L400" s="12">
        <v>1260</v>
      </c>
      <c r="M400" s="12">
        <v>1202</v>
      </c>
      <c r="N400" s="12">
        <v>32</v>
      </c>
      <c r="O400" s="15"/>
      <c r="P400" s="6">
        <v>40140.387037037035</v>
      </c>
      <c r="Q400" s="16" t="s">
        <v>1067</v>
      </c>
      <c r="R400" s="17" t="s">
        <v>1068</v>
      </c>
      <c r="S400" s="11"/>
      <c r="T400" s="11"/>
      <c r="U400" s="10" t="str">
        <f>HYPERLINK("https://pbs.twimg.com/profile_images/780346915338739712/V-SqJTzH.jpg","View")</f>
        <v>View</v>
      </c>
    </row>
    <row r="401" spans="1:21" ht="20.399999999999999">
      <c r="A401" s="6">
        <v>43426.874837962961</v>
      </c>
      <c r="B401" s="7" t="str">
        <f>HYPERLINK("https://twitter.com/AntonioLola4","@AntonioLola4")</f>
        <v>@AntonioLola4</v>
      </c>
      <c r="C401" s="8" t="s">
        <v>2619</v>
      </c>
      <c r="D401" s="9" t="s">
        <v>2620</v>
      </c>
      <c r="E401" s="10" t="str">
        <f>HYPERLINK("https://twitter.com/AntonioLola4/status/1065832255107543041","1065832255107543041")</f>
        <v>1065832255107543041</v>
      </c>
      <c r="F401" s="14" t="s">
        <v>2621</v>
      </c>
      <c r="G401" s="11"/>
      <c r="H401" s="11"/>
      <c r="I401" s="12">
        <v>0</v>
      </c>
      <c r="J401" s="12">
        <v>0</v>
      </c>
      <c r="K401" s="13" t="str">
        <f t="shared" si="76"/>
        <v>Twitter for Android</v>
      </c>
      <c r="L401" s="12">
        <v>129</v>
      </c>
      <c r="M401" s="12">
        <v>330</v>
      </c>
      <c r="N401" s="12">
        <v>1</v>
      </c>
      <c r="O401" s="15"/>
      <c r="P401" s="6">
        <v>43322.192500000005</v>
      </c>
      <c r="Q401" s="11"/>
      <c r="R401" s="19"/>
      <c r="S401" s="11"/>
      <c r="T401" s="11"/>
      <c r="U401" s="10" t="str">
        <f>HYPERLINK("https://pbs.twimg.com/profile_images/1033050274888331264/7Km_PoOW.jpg","View")</f>
        <v>View</v>
      </c>
    </row>
    <row r="402" spans="1:21" ht="40.799999999999997">
      <c r="A402" s="6">
        <v>43426.874583333338</v>
      </c>
      <c r="B402" s="7" t="str">
        <f>HYPERLINK("https://twitter.com/TOMYBEN74","@TOMYBEN74")</f>
        <v>@TOMYBEN74</v>
      </c>
      <c r="C402" s="8" t="s">
        <v>1070</v>
      </c>
      <c r="D402" s="9" t="s">
        <v>1071</v>
      </c>
      <c r="E402" s="10" t="str">
        <f>HYPERLINK("https://twitter.com/TOMYBEN74/status/1065832164766425090","1065832164766425090")</f>
        <v>1065832164766425090</v>
      </c>
      <c r="F402" s="11"/>
      <c r="G402" s="14" t="s">
        <v>1074</v>
      </c>
      <c r="H402" s="11"/>
      <c r="I402" s="12">
        <v>0</v>
      </c>
      <c r="J402" s="12">
        <v>0</v>
      </c>
      <c r="K402" s="13" t="str">
        <f>HYPERLINK("http://twitter.com/#!/download/ipad","Twitter for iPad")</f>
        <v>Twitter for iPad</v>
      </c>
      <c r="L402" s="12">
        <v>112</v>
      </c>
      <c r="M402" s="12">
        <v>215</v>
      </c>
      <c r="N402" s="12">
        <v>2</v>
      </c>
      <c r="O402" s="15"/>
      <c r="P402" s="6">
        <v>41714.046226851853</v>
      </c>
      <c r="Q402" s="16" t="s">
        <v>38</v>
      </c>
      <c r="R402" s="17" t="s">
        <v>1075</v>
      </c>
      <c r="S402" s="11"/>
      <c r="T402" s="11"/>
      <c r="U402" s="10" t="str">
        <f>HYPERLINK("https://pbs.twimg.com/profile_images/950234016648716288/Kcdg31oc.jpg","View")</f>
        <v>View</v>
      </c>
    </row>
    <row r="403" spans="1:21" ht="40.799999999999997">
      <c r="A403" s="6">
        <v>43426.846354166672</v>
      </c>
      <c r="B403" s="7" t="str">
        <f>HYPERLINK("https://twitter.com/juanortiz076","@juanortiz076")</f>
        <v>@juanortiz076</v>
      </c>
      <c r="C403" s="8" t="s">
        <v>2631</v>
      </c>
      <c r="D403" s="9" t="s">
        <v>2632</v>
      </c>
      <c r="E403" s="10" t="str">
        <f>HYPERLINK("https://twitter.com/juanortiz076/status/1065821932753424384","1065821932753424384")</f>
        <v>1065821932753424384</v>
      </c>
      <c r="F403" s="14" t="s">
        <v>2633</v>
      </c>
      <c r="G403" s="11"/>
      <c r="H403" s="11"/>
      <c r="I403" s="12">
        <v>0</v>
      </c>
      <c r="J403" s="12">
        <v>0</v>
      </c>
      <c r="K403" s="13" t="str">
        <f t="shared" ref="K403:K405" si="77">HYPERLINK("http://twitter.com/download/android","Twitter for Android")</f>
        <v>Twitter for Android</v>
      </c>
      <c r="L403" s="12">
        <v>3818</v>
      </c>
      <c r="M403" s="12">
        <v>3796</v>
      </c>
      <c r="N403" s="12">
        <v>14</v>
      </c>
      <c r="O403" s="15"/>
      <c r="P403" s="6">
        <v>42158.753587962958</v>
      </c>
      <c r="Q403" s="16" t="s">
        <v>2636</v>
      </c>
      <c r="R403" s="17" t="s">
        <v>2637</v>
      </c>
      <c r="S403" s="11"/>
      <c r="T403" s="11"/>
      <c r="U403" s="10" t="str">
        <f>HYPERLINK("https://pbs.twimg.com/profile_images/1040108619843489794/3N6Z4LBp.jpg","View")</f>
        <v>View</v>
      </c>
    </row>
    <row r="404" spans="1:21" ht="40.799999999999997">
      <c r="A404" s="6">
        <v>43426.842442129629</v>
      </c>
      <c r="B404" s="7" t="str">
        <f>HYPERLINK("https://twitter.com/icmp_0","@icmp_0")</f>
        <v>@icmp_0</v>
      </c>
      <c r="C404" s="8" t="s">
        <v>2640</v>
      </c>
      <c r="D404" s="9" t="s">
        <v>2641</v>
      </c>
      <c r="E404" s="10" t="str">
        <f>HYPERLINK("https://twitter.com/icmp_0/status/1065820514172719104","1065820514172719104")</f>
        <v>1065820514172719104</v>
      </c>
      <c r="F404" s="14" t="s">
        <v>1267</v>
      </c>
      <c r="G404" s="14" t="s">
        <v>2642</v>
      </c>
      <c r="H404" s="11"/>
      <c r="I404" s="12">
        <v>0</v>
      </c>
      <c r="J404" s="12">
        <v>1</v>
      </c>
      <c r="K404" s="13" t="str">
        <f t="shared" si="77"/>
        <v>Twitter for Android</v>
      </c>
      <c r="L404" s="12">
        <v>3297</v>
      </c>
      <c r="M404" s="12">
        <v>3974</v>
      </c>
      <c r="N404" s="12">
        <v>136</v>
      </c>
      <c r="O404" s="15"/>
      <c r="P404" s="6">
        <v>41540.324652777781</v>
      </c>
      <c r="Q404" s="16" t="s">
        <v>37</v>
      </c>
      <c r="R404" s="17" t="s">
        <v>2645</v>
      </c>
      <c r="S404" s="11"/>
      <c r="T404" s="11"/>
      <c r="U404" s="10" t="str">
        <f>HYPERLINK("https://pbs.twimg.com/profile_images/921316773328293888/Fn1q_HQI.jpg","View")</f>
        <v>View</v>
      </c>
    </row>
    <row r="405" spans="1:21" ht="112.2">
      <c r="A405" s="6">
        <v>43426.835601851853</v>
      </c>
      <c r="B405" s="7" t="str">
        <f>HYPERLINK("https://twitter.com/Mexicanotitlan","@Mexicanotitlan")</f>
        <v>@Mexicanotitlan</v>
      </c>
      <c r="C405" s="8" t="s">
        <v>1076</v>
      </c>
      <c r="D405" s="9" t="s">
        <v>1077</v>
      </c>
      <c r="E405" s="10" t="str">
        <f>HYPERLINK("https://twitter.com/Mexicanotitlan/status/1065818035754319873","1065818035754319873")</f>
        <v>1065818035754319873</v>
      </c>
      <c r="F405" s="16" t="s">
        <v>1078</v>
      </c>
      <c r="G405" s="11"/>
      <c r="H405" s="11"/>
      <c r="I405" s="12">
        <v>21</v>
      </c>
      <c r="J405" s="12">
        <v>22</v>
      </c>
      <c r="K405" s="13" t="str">
        <f t="shared" si="77"/>
        <v>Twitter for Android</v>
      </c>
      <c r="L405" s="12">
        <v>1821</v>
      </c>
      <c r="M405" s="12">
        <v>671</v>
      </c>
      <c r="N405" s="12">
        <v>5</v>
      </c>
      <c r="O405" s="15"/>
      <c r="P405" s="6">
        <v>42368.308541666665</v>
      </c>
      <c r="Q405" s="16" t="s">
        <v>1080</v>
      </c>
      <c r="R405" s="17" t="s">
        <v>1081</v>
      </c>
      <c r="S405" s="11"/>
      <c r="T405" s="11"/>
      <c r="U405" s="10" t="str">
        <f>HYPERLINK("https://pbs.twimg.com/profile_images/1065136038195138560/_j3zi8TZ.jpg","View")</f>
        <v>View</v>
      </c>
    </row>
    <row r="406" spans="1:21" ht="51">
      <c r="A406" s="6">
        <v>43426.834722222222</v>
      </c>
      <c r="B406" s="7" t="str">
        <f>HYPERLINK("https://twitter.com/bitMomentum","@bitMomentum")</f>
        <v>@bitMomentum</v>
      </c>
      <c r="C406" s="8" t="s">
        <v>1033</v>
      </c>
      <c r="D406" s="9" t="s">
        <v>1083</v>
      </c>
      <c r="E406" s="10" t="str">
        <f>HYPERLINK("https://twitter.com/bitMomentum/status/1065817716391649281","1065817716391649281")</f>
        <v>1065817716391649281</v>
      </c>
      <c r="F406" s="11"/>
      <c r="G406" s="11"/>
      <c r="H406" s="11"/>
      <c r="I406" s="12">
        <v>0</v>
      </c>
      <c r="J406" s="12">
        <v>0</v>
      </c>
      <c r="K406" s="13" t="str">
        <f>HYPERLINK("http://www.bitmomentum.com","bitMomentum Bot")</f>
        <v>bitMomentum Bot</v>
      </c>
      <c r="L406" s="12">
        <v>10132</v>
      </c>
      <c r="M406" s="12">
        <v>1060</v>
      </c>
      <c r="N406" s="12">
        <v>267</v>
      </c>
      <c r="O406" s="15"/>
      <c r="P406" s="6">
        <v>41608.292511574073</v>
      </c>
      <c r="Q406" s="11"/>
      <c r="R406" s="17" t="s">
        <v>1038</v>
      </c>
      <c r="S406" s="14" t="s">
        <v>1039</v>
      </c>
      <c r="T406" s="11"/>
      <c r="U406" s="10" t="str">
        <f>HYPERLINK("https://pbs.twimg.com/profile_images/378800000862185241/20ij2H3u.png","View")</f>
        <v>View</v>
      </c>
    </row>
    <row r="407" spans="1:21" ht="20.399999999999999">
      <c r="A407" s="6">
        <v>43426.825543981482</v>
      </c>
      <c r="B407" s="7" t="str">
        <f>HYPERLINK("https://twitter.com/epriani","@epriani")</f>
        <v>@epriani</v>
      </c>
      <c r="C407" s="8" t="s">
        <v>2655</v>
      </c>
      <c r="D407" s="9" t="s">
        <v>2656</v>
      </c>
      <c r="E407" s="10" t="str">
        <f>HYPERLINK("https://twitter.com/epriani/status/1065814390895755264","1065814390895755264")</f>
        <v>1065814390895755264</v>
      </c>
      <c r="F407" s="11"/>
      <c r="G407" s="14" t="s">
        <v>2658</v>
      </c>
      <c r="H407" s="11"/>
      <c r="I407" s="12">
        <v>0</v>
      </c>
      <c r="J407" s="12">
        <v>5</v>
      </c>
      <c r="K407" s="13" t="str">
        <f>HYPERLINK("http://twitter.com/download/iphone","Twitter for iPhone")</f>
        <v>Twitter for iPhone</v>
      </c>
      <c r="L407" s="12">
        <v>4495</v>
      </c>
      <c r="M407" s="12">
        <v>1174</v>
      </c>
      <c r="N407" s="12">
        <v>225</v>
      </c>
      <c r="O407" s="15"/>
      <c r="P407" s="6">
        <v>39723.768726851849</v>
      </c>
      <c r="Q407" s="16" t="s">
        <v>2661</v>
      </c>
      <c r="R407" s="17" t="s">
        <v>2662</v>
      </c>
      <c r="S407" s="14" t="s">
        <v>2663</v>
      </c>
      <c r="T407" s="11"/>
      <c r="U407" s="10" t="str">
        <f>HYPERLINK("https://pbs.twimg.com/profile_images/827000891467259908/n6K96E5T.jpg","View")</f>
        <v>View</v>
      </c>
    </row>
    <row r="408" spans="1:21" ht="30.6">
      <c r="A408" s="6">
        <v>43426.798587962963</v>
      </c>
      <c r="B408" s="7" t="str">
        <f>HYPERLINK("https://twitter.com/ArturoRojillo","@ArturoRojillo")</f>
        <v>@ArturoRojillo</v>
      </c>
      <c r="C408" s="8" t="s">
        <v>1084</v>
      </c>
      <c r="D408" s="9" t="s">
        <v>1085</v>
      </c>
      <c r="E408" s="10" t="str">
        <f>HYPERLINK("https://twitter.com/ArturoRojillo/status/1065804621199941632","1065804621199941632")</f>
        <v>1065804621199941632</v>
      </c>
      <c r="F408" s="14" t="s">
        <v>1086</v>
      </c>
      <c r="G408" s="11"/>
      <c r="H408" s="11"/>
      <c r="I408" s="12">
        <v>0</v>
      </c>
      <c r="J408" s="12">
        <v>0</v>
      </c>
      <c r="K408" s="13" t="str">
        <f t="shared" ref="K408:K409" si="78">HYPERLINK("http://twitter.com/download/android","Twitter for Android")</f>
        <v>Twitter for Android</v>
      </c>
      <c r="L408" s="12">
        <v>2081</v>
      </c>
      <c r="M408" s="12">
        <v>1902</v>
      </c>
      <c r="N408" s="12">
        <v>41</v>
      </c>
      <c r="O408" s="15"/>
      <c r="P408" s="6">
        <v>40397.371678240743</v>
      </c>
      <c r="Q408" s="16" t="s">
        <v>1087</v>
      </c>
      <c r="R408" s="17" t="s">
        <v>1088</v>
      </c>
      <c r="S408" s="14" t="s">
        <v>1089</v>
      </c>
      <c r="T408" s="11"/>
      <c r="U408" s="10" t="str">
        <f>HYPERLINK("https://pbs.twimg.com/profile_images/1039423460508938245/wysaMirT.jpg","View")</f>
        <v>View</v>
      </c>
    </row>
    <row r="409" spans="1:21" ht="51">
      <c r="A409" s="6">
        <v>43426.795405092591</v>
      </c>
      <c r="B409" s="7" t="str">
        <f>HYPERLINK("https://twitter.com/Elazote52008222","@Elazote52008222")</f>
        <v>@Elazote52008222</v>
      </c>
      <c r="C409" s="8" t="s">
        <v>1093</v>
      </c>
      <c r="D409" s="9" t="s">
        <v>1094</v>
      </c>
      <c r="E409" s="10" t="str">
        <f>HYPERLINK("https://twitter.com/Elazote52008222/status/1065803468009603072","1065803468009603072")</f>
        <v>1065803468009603072</v>
      </c>
      <c r="F409" s="11"/>
      <c r="G409" s="11"/>
      <c r="H409" s="11"/>
      <c r="I409" s="12">
        <v>0</v>
      </c>
      <c r="J409" s="12">
        <v>0</v>
      </c>
      <c r="K409" s="13" t="str">
        <f t="shared" si="78"/>
        <v>Twitter for Android</v>
      </c>
      <c r="L409" s="12">
        <v>95</v>
      </c>
      <c r="M409" s="12">
        <v>334</v>
      </c>
      <c r="N409" s="12">
        <v>1</v>
      </c>
      <c r="O409" s="15"/>
      <c r="P409" s="6">
        <v>43328.259502314817</v>
      </c>
      <c r="Q409" s="11"/>
      <c r="R409" s="19"/>
      <c r="S409" s="11"/>
      <c r="T409" s="11"/>
      <c r="U409" s="10" t="str">
        <f>HYPERLINK("https://pbs.twimg.com/profile_images/1030163525061300226/H6z0SZDH.jpg","View")</f>
        <v>View</v>
      </c>
    </row>
    <row r="410" spans="1:21" ht="20.399999999999999">
      <c r="A410" s="6">
        <v>43426.795312499999</v>
      </c>
      <c r="B410" s="7" t="str">
        <f>HYPERLINK("https://twitter.com/____Gipsy____","@____Gipsy____")</f>
        <v>@____Gipsy____</v>
      </c>
      <c r="C410" s="8" t="s">
        <v>2671</v>
      </c>
      <c r="D410" s="9" t="s">
        <v>2672</v>
      </c>
      <c r="E410" s="10" t="str">
        <f>HYPERLINK("https://twitter.com/____Gipsy____/status/1065803437504438272","1065803437504438272")</f>
        <v>1065803437504438272</v>
      </c>
      <c r="F410" s="14" t="s">
        <v>2675</v>
      </c>
      <c r="G410" s="11"/>
      <c r="H410" s="11"/>
      <c r="I410" s="12">
        <v>0</v>
      </c>
      <c r="J410" s="12">
        <v>0</v>
      </c>
      <c r="K410" s="13" t="str">
        <f>HYPERLINK("https://buffer.com","Buffer")</f>
        <v>Buffer</v>
      </c>
      <c r="L410" s="12">
        <v>145</v>
      </c>
      <c r="M410" s="12">
        <v>975</v>
      </c>
      <c r="N410" s="12">
        <v>0</v>
      </c>
      <c r="O410" s="15"/>
      <c r="P410" s="6">
        <v>43341.253252314811</v>
      </c>
      <c r="Q410" s="11"/>
      <c r="R410" s="17" t="s">
        <v>2676</v>
      </c>
      <c r="S410" s="11"/>
      <c r="T410" s="11"/>
      <c r="U410" s="10" t="str">
        <f>HYPERLINK("https://pbs.twimg.com/profile_images/1034789754791976960/dNNStVf-.jpg","View")</f>
        <v>View</v>
      </c>
    </row>
    <row r="411" spans="1:21" ht="51">
      <c r="A411" s="6">
        <v>43426.792037037041</v>
      </c>
      <c r="B411" s="7" t="str">
        <f>HYPERLINK("https://twitter.com/TWildFree","@TWildFree")</f>
        <v>@TWildFree</v>
      </c>
      <c r="C411" s="8" t="s">
        <v>2679</v>
      </c>
      <c r="D411" s="9" t="s">
        <v>2680</v>
      </c>
      <c r="E411" s="10" t="str">
        <f>HYPERLINK("https://twitter.com/TWildFree/status/1065802250944163840","1065802250944163840")</f>
        <v>1065802250944163840</v>
      </c>
      <c r="F411" s="11"/>
      <c r="G411" s="14" t="s">
        <v>2683</v>
      </c>
      <c r="H411" s="11"/>
      <c r="I411" s="12">
        <v>2</v>
      </c>
      <c r="J411" s="12">
        <v>8</v>
      </c>
      <c r="K411" s="13" t="str">
        <f>HYPERLINK("http://twitter.com/download/iphone","Twitter for iPhone")</f>
        <v>Twitter for iPhone</v>
      </c>
      <c r="L411" s="12">
        <v>3202</v>
      </c>
      <c r="M411" s="12">
        <v>2153</v>
      </c>
      <c r="N411" s="12">
        <v>87</v>
      </c>
      <c r="O411" s="15"/>
      <c r="P411" s="6">
        <v>40675.416099537033</v>
      </c>
      <c r="Q411" s="16" t="s">
        <v>38</v>
      </c>
      <c r="R411" s="17" t="s">
        <v>2684</v>
      </c>
      <c r="S411" s="11"/>
      <c r="T411" s="11"/>
      <c r="U411" s="10" t="str">
        <f>HYPERLINK("https://pbs.twimg.com/profile_images/957036860483784704/CBcXOFy_.jpg","View")</f>
        <v>View</v>
      </c>
    </row>
    <row r="412" spans="1:21" ht="61.2">
      <c r="A412" s="6">
        <v>43426.78597222222</v>
      </c>
      <c r="B412" s="7" t="str">
        <f t="shared" ref="B412:B413" si="79">HYPERLINK("https://twitter.com/Whoremagedd0n","@Whoremagedd0n")</f>
        <v>@Whoremagedd0n</v>
      </c>
      <c r="C412" s="8" t="s">
        <v>2689</v>
      </c>
      <c r="D412" s="9" t="s">
        <v>2690</v>
      </c>
      <c r="E412" s="10" t="str">
        <f>HYPERLINK("https://twitter.com/Whoremagedd0n/status/1065800050037657600","1065800050037657600")</f>
        <v>1065800050037657600</v>
      </c>
      <c r="F412" s="16" t="s">
        <v>2691</v>
      </c>
      <c r="G412" s="11"/>
      <c r="H412" s="11"/>
      <c r="I412" s="12">
        <v>0</v>
      </c>
      <c r="J412" s="12">
        <v>0</v>
      </c>
      <c r="K412" s="13" t="str">
        <f>HYPERLINK("https://mobile.twitter.com","Twitter Lite")</f>
        <v>Twitter Lite</v>
      </c>
      <c r="L412" s="12">
        <v>67</v>
      </c>
      <c r="M412" s="12">
        <v>96</v>
      </c>
      <c r="N412" s="12">
        <v>0</v>
      </c>
      <c r="O412" s="15"/>
      <c r="P412" s="6">
        <v>40409.631979166668</v>
      </c>
      <c r="Q412" s="11"/>
      <c r="R412" s="19"/>
      <c r="S412" s="11"/>
      <c r="T412" s="11"/>
      <c r="U412" s="10" t="str">
        <f t="shared" ref="U412:U413" si="80">HYPERLINK("https://pbs.twimg.com/profile_images/1052592462449930240/vBjqMZgx.jpg","View")</f>
        <v>View</v>
      </c>
    </row>
    <row r="413" spans="1:21" ht="13.2">
      <c r="A413" s="6">
        <v>43426.784525462965</v>
      </c>
      <c r="B413" s="7" t="str">
        <f t="shared" si="79"/>
        <v>@Whoremagedd0n</v>
      </c>
      <c r="C413" s="8" t="s">
        <v>2689</v>
      </c>
      <c r="D413" s="9" t="s">
        <v>2694</v>
      </c>
      <c r="E413" s="10" t="str">
        <f>HYPERLINK("https://twitter.com/Whoremagedd0n/status/1065799527746158592","1065799527746158592")</f>
        <v>1065799527746158592</v>
      </c>
      <c r="F413" s="14" t="s">
        <v>2698</v>
      </c>
      <c r="G413" s="11"/>
      <c r="H413" s="11"/>
      <c r="I413" s="12">
        <v>0</v>
      </c>
      <c r="J413" s="12">
        <v>0</v>
      </c>
      <c r="K413" s="13" t="str">
        <f t="shared" ref="K413:K414" si="81">HYPERLINK("http://twitter.com","Twitter Web Client")</f>
        <v>Twitter Web Client</v>
      </c>
      <c r="L413" s="12">
        <v>67</v>
      </c>
      <c r="M413" s="12">
        <v>96</v>
      </c>
      <c r="N413" s="12">
        <v>0</v>
      </c>
      <c r="O413" s="15"/>
      <c r="P413" s="6">
        <v>40409.631979166668</v>
      </c>
      <c r="Q413" s="11"/>
      <c r="R413" s="19"/>
      <c r="S413" s="11"/>
      <c r="T413" s="11"/>
      <c r="U413" s="10" t="str">
        <f t="shared" si="80"/>
        <v>View</v>
      </c>
    </row>
    <row r="414" spans="1:21" ht="20.399999999999999">
      <c r="A414" s="6">
        <v>43426.782060185185</v>
      </c>
      <c r="B414" s="7" t="str">
        <f>HYPERLINK("https://twitter.com/1982mmf","@1982mmf")</f>
        <v>@1982mmf</v>
      </c>
      <c r="C414" s="8" t="s">
        <v>2702</v>
      </c>
      <c r="D414" s="9" t="s">
        <v>768</v>
      </c>
      <c r="E414" s="10" t="str">
        <f>HYPERLINK("https://twitter.com/1982mmf/status/1065798634422312960","1065798634422312960")</f>
        <v>1065798634422312960</v>
      </c>
      <c r="F414" s="14" t="s">
        <v>529</v>
      </c>
      <c r="G414" s="11"/>
      <c r="H414" s="11"/>
      <c r="I414" s="12">
        <v>0</v>
      </c>
      <c r="J414" s="12">
        <v>0</v>
      </c>
      <c r="K414" s="13" t="str">
        <f t="shared" si="81"/>
        <v>Twitter Web Client</v>
      </c>
      <c r="L414" s="12">
        <v>24</v>
      </c>
      <c r="M414" s="12">
        <v>158</v>
      </c>
      <c r="N414" s="12">
        <v>0</v>
      </c>
      <c r="O414" s="15"/>
      <c r="P414" s="6">
        <v>43181.188912037032</v>
      </c>
      <c r="Q414" s="16" t="s">
        <v>2706</v>
      </c>
      <c r="R414" s="17" t="s">
        <v>2707</v>
      </c>
      <c r="S414" s="11"/>
      <c r="T414" s="11"/>
      <c r="U414" s="10" t="str">
        <f>HYPERLINK("https://pbs.twimg.com/profile_images/997488231590514688/vtQggRUh.jpg","View")</f>
        <v>View</v>
      </c>
    </row>
    <row r="415" spans="1:21" ht="51">
      <c r="A415" s="6">
        <v>43426.774560185186</v>
      </c>
      <c r="B415" s="7" t="str">
        <f>HYPERLINK("https://twitter.com/emirmontoya","@emirmontoya")</f>
        <v>@emirmontoya</v>
      </c>
      <c r="C415" s="8" t="s">
        <v>2712</v>
      </c>
      <c r="D415" s="9" t="s">
        <v>2713</v>
      </c>
      <c r="E415" s="10" t="str">
        <f>HYPERLINK("https://twitter.com/emirmontoya/status/1065795916316241920","1065795916316241920")</f>
        <v>1065795916316241920</v>
      </c>
      <c r="F415" s="16" t="s">
        <v>2714</v>
      </c>
      <c r="G415" s="14" t="s">
        <v>2715</v>
      </c>
      <c r="H415" s="11"/>
      <c r="I415" s="12">
        <v>3</v>
      </c>
      <c r="J415" s="12">
        <v>1</v>
      </c>
      <c r="K415" s="13" t="str">
        <f>HYPERLINK("http://twitter.com/download/android","Twitter for Android")</f>
        <v>Twitter for Android</v>
      </c>
      <c r="L415" s="12">
        <v>2929</v>
      </c>
      <c r="M415" s="12">
        <v>1977</v>
      </c>
      <c r="N415" s="12">
        <v>30</v>
      </c>
      <c r="O415" s="15"/>
      <c r="P415" s="6">
        <v>40232.458032407405</v>
      </c>
      <c r="Q415" s="16" t="s">
        <v>2718</v>
      </c>
      <c r="R415" s="17" t="s">
        <v>2719</v>
      </c>
      <c r="S415" s="14" t="s">
        <v>2721</v>
      </c>
      <c r="T415" s="11"/>
      <c r="U415" s="10" t="str">
        <f>HYPERLINK("https://pbs.twimg.com/profile_images/1003894805779402752/w5Pp9PqS.jpg","View")</f>
        <v>View</v>
      </c>
    </row>
    <row r="416" spans="1:21" ht="30.6">
      <c r="A416" s="6">
        <v>43426.772743055553</v>
      </c>
      <c r="B416" s="7" t="str">
        <f>HYPERLINK("https://twitter.com/Javiguanarteme","@Javiguanarteme")</f>
        <v>@Javiguanarteme</v>
      </c>
      <c r="C416" s="8" t="s">
        <v>2725</v>
      </c>
      <c r="D416" s="9" t="s">
        <v>2726</v>
      </c>
      <c r="E416" s="10" t="str">
        <f>HYPERLINK("https://twitter.com/Javiguanarteme/status/1065795259077181440","1065795259077181440")</f>
        <v>1065795259077181440</v>
      </c>
      <c r="F416" s="14" t="s">
        <v>2727</v>
      </c>
      <c r="G416" s="14" t="s">
        <v>2730</v>
      </c>
      <c r="H416" s="11"/>
      <c r="I416" s="12">
        <v>0</v>
      </c>
      <c r="J416" s="12">
        <v>0</v>
      </c>
      <c r="K416" s="13" t="str">
        <f>HYPERLINK("http://publicize.wp.com/","WordPress.com")</f>
        <v>WordPress.com</v>
      </c>
      <c r="L416" s="12">
        <v>119</v>
      </c>
      <c r="M416" s="12">
        <v>234</v>
      </c>
      <c r="N416" s="12">
        <v>2</v>
      </c>
      <c r="O416" s="15"/>
      <c r="P416" s="6">
        <v>40420.427685185183</v>
      </c>
      <c r="Q416" s="11"/>
      <c r="R416" s="17" t="s">
        <v>2732</v>
      </c>
      <c r="S416" s="14" t="s">
        <v>2733</v>
      </c>
      <c r="T416" s="11"/>
      <c r="U416" s="10" t="str">
        <f>HYPERLINK("https://pbs.twimg.com/profile_images/991101836248657924/mxCLwYTk.jpg","View")</f>
        <v>View</v>
      </c>
    </row>
    <row r="417" spans="1:21" ht="102">
      <c r="A417" s="6">
        <v>43426.737627314811</v>
      </c>
      <c r="B417" s="7" t="str">
        <f>HYPERLINK("https://twitter.com/gbo0506","@gbo0506")</f>
        <v>@gbo0506</v>
      </c>
      <c r="C417" s="8" t="s">
        <v>2737</v>
      </c>
      <c r="D417" s="9" t="s">
        <v>2738</v>
      </c>
      <c r="E417" s="10" t="str">
        <f>HYPERLINK("https://twitter.com/gbo0506/status/1065782531675561985","1065782531675561985")</f>
        <v>1065782531675561985</v>
      </c>
      <c r="F417" s="14" t="s">
        <v>2003</v>
      </c>
      <c r="G417" s="11"/>
      <c r="H417" s="11"/>
      <c r="I417" s="12">
        <v>0</v>
      </c>
      <c r="J417" s="12">
        <v>0</v>
      </c>
      <c r="K417" s="13" t="str">
        <f>HYPERLINK("http://twitter.com/#!/download/ipad","Twitter for iPad")</f>
        <v>Twitter for iPad</v>
      </c>
      <c r="L417" s="12">
        <v>497</v>
      </c>
      <c r="M417" s="12">
        <v>646</v>
      </c>
      <c r="N417" s="12">
        <v>6</v>
      </c>
      <c r="O417" s="15"/>
      <c r="P417" s="6">
        <v>40608.339953703704</v>
      </c>
      <c r="Q417" s="11"/>
      <c r="R417" s="17" t="s">
        <v>2740</v>
      </c>
      <c r="S417" s="11"/>
      <c r="T417" s="11"/>
      <c r="U417" s="10" t="str">
        <f>HYPERLINK("https://pbs.twimg.com/profile_images/684751419740520449/SD0bmGBN.jpg","View")</f>
        <v>View</v>
      </c>
    </row>
    <row r="418" spans="1:21" ht="40.799999999999997">
      <c r="A418" s="6">
        <v>43426.73438657407</v>
      </c>
      <c r="B418" s="7" t="str">
        <f>HYPERLINK("https://twitter.com/marimardona","@marimardona")</f>
        <v>@marimardona</v>
      </c>
      <c r="C418" s="8" t="s">
        <v>1098</v>
      </c>
      <c r="D418" s="21" t="s">
        <v>1099</v>
      </c>
      <c r="E418" s="10" t="str">
        <f>HYPERLINK("https://twitter.com/marimardona/status/1065781357564096512","1065781357564096512")</f>
        <v>1065781357564096512</v>
      </c>
      <c r="F418" s="14" t="s">
        <v>529</v>
      </c>
      <c r="G418" s="11"/>
      <c r="H418" s="11"/>
      <c r="I418" s="12">
        <v>0</v>
      </c>
      <c r="J418" s="12">
        <v>0</v>
      </c>
      <c r="K418" s="13" t="str">
        <f t="shared" ref="K418:K420" si="82">HYPERLINK("http://twitter.com/download/android","Twitter for Android")</f>
        <v>Twitter for Android</v>
      </c>
      <c r="L418" s="12">
        <v>5489</v>
      </c>
      <c r="M418" s="12">
        <v>5455</v>
      </c>
      <c r="N418" s="12">
        <v>82</v>
      </c>
      <c r="O418" s="15"/>
      <c r="P418" s="6">
        <v>40640.372418981482</v>
      </c>
      <c r="Q418" s="16" t="s">
        <v>1100</v>
      </c>
      <c r="R418" s="17" t="s">
        <v>1101</v>
      </c>
      <c r="S418" s="11"/>
      <c r="T418" s="11"/>
      <c r="U418" s="10" t="str">
        <f>HYPERLINK("https://pbs.twimg.com/profile_images/1049018212325740544/3cPu8qps.jpg","View")</f>
        <v>View</v>
      </c>
    </row>
    <row r="419" spans="1:21" ht="20.399999999999999">
      <c r="A419" s="6">
        <v>43426.726539351846</v>
      </c>
      <c r="B419" s="7" t="str">
        <f>HYPERLINK("https://twitter.com/franchescorubio","@franchescorubio")</f>
        <v>@franchescorubio</v>
      </c>
      <c r="C419" s="8" t="s">
        <v>1102</v>
      </c>
      <c r="D419" s="9" t="s">
        <v>1103</v>
      </c>
      <c r="E419" s="10" t="str">
        <f>HYPERLINK("https://twitter.com/franchescorubio/status/1065778514304122880","1065778514304122880")</f>
        <v>1065778514304122880</v>
      </c>
      <c r="F419" s="11"/>
      <c r="G419" s="11"/>
      <c r="H419" s="11"/>
      <c r="I419" s="12">
        <v>0</v>
      </c>
      <c r="J419" s="12">
        <v>0</v>
      </c>
      <c r="K419" s="13" t="str">
        <f t="shared" si="82"/>
        <v>Twitter for Android</v>
      </c>
      <c r="L419" s="12">
        <v>483</v>
      </c>
      <c r="M419" s="12">
        <v>657</v>
      </c>
      <c r="N419" s="12">
        <v>7</v>
      </c>
      <c r="O419" s="15"/>
      <c r="P419" s="6">
        <v>40766.35560185185</v>
      </c>
      <c r="Q419" s="16" t="s">
        <v>1104</v>
      </c>
      <c r="R419" s="17" t="s">
        <v>1105</v>
      </c>
      <c r="S419" s="11"/>
      <c r="T419" s="11"/>
      <c r="U419" s="10" t="str">
        <f>HYPERLINK("https://pbs.twimg.com/profile_images/1058781092541538306/ilQPybYX.jpg","View")</f>
        <v>View</v>
      </c>
    </row>
    <row r="420" spans="1:21" ht="40.799999999999997">
      <c r="A420" s="6">
        <v>43426.721585648149</v>
      </c>
      <c r="B420" s="7" t="str">
        <f>HYPERLINK("https://twitter.com/El_TylerDurden","@El_TylerDurden")</f>
        <v>@El_TylerDurden</v>
      </c>
      <c r="C420" s="8" t="s">
        <v>2752</v>
      </c>
      <c r="D420" s="9" t="s">
        <v>2754</v>
      </c>
      <c r="E420" s="10" t="str">
        <f>HYPERLINK("https://twitter.com/El_TylerDurden/status/1065776717715947522","1065776717715947522")</f>
        <v>1065776717715947522</v>
      </c>
      <c r="F420" s="11"/>
      <c r="G420" s="14" t="s">
        <v>2756</v>
      </c>
      <c r="H420" s="11"/>
      <c r="I420" s="12">
        <v>5</v>
      </c>
      <c r="J420" s="12">
        <v>8</v>
      </c>
      <c r="K420" s="13" t="str">
        <f t="shared" si="82"/>
        <v>Twitter for Android</v>
      </c>
      <c r="L420" s="12">
        <v>266</v>
      </c>
      <c r="M420" s="12">
        <v>132</v>
      </c>
      <c r="N420" s="12">
        <v>6</v>
      </c>
      <c r="O420" s="15"/>
      <c r="P420" s="6">
        <v>43335.723796296297</v>
      </c>
      <c r="Q420" s="16" t="s">
        <v>2758</v>
      </c>
      <c r="R420" s="17" t="s">
        <v>2759</v>
      </c>
      <c r="S420" s="14" t="s">
        <v>2761</v>
      </c>
      <c r="T420" s="11"/>
      <c r="U420" s="10" t="str">
        <f>HYPERLINK("https://pbs.twimg.com/profile_images/1058188751921393665/80NjvJER.jpg","View")</f>
        <v>View</v>
      </c>
    </row>
    <row r="421" spans="1:21" ht="40.799999999999997">
      <c r="A421" s="6">
        <v>43426.71974537037</v>
      </c>
      <c r="B421" s="7" t="str">
        <f>HYPERLINK("https://twitter.com/godomarto","@godomarto")</f>
        <v>@godomarto</v>
      </c>
      <c r="C421" s="8" t="s">
        <v>2764</v>
      </c>
      <c r="D421" s="9" t="s">
        <v>2765</v>
      </c>
      <c r="E421" s="10" t="str">
        <f>HYPERLINK("https://twitter.com/godomarto/status/1065776053120053250","1065776053120053250")</f>
        <v>1065776053120053250</v>
      </c>
      <c r="F421" s="14" t="s">
        <v>2766</v>
      </c>
      <c r="G421" s="14" t="s">
        <v>2767</v>
      </c>
      <c r="H421" s="11"/>
      <c r="I421" s="12">
        <v>0</v>
      </c>
      <c r="J421" s="12">
        <v>1</v>
      </c>
      <c r="K421" s="13" t="str">
        <f>HYPERLINK("http://twitter.com","Twitter Web Client")</f>
        <v>Twitter Web Client</v>
      </c>
      <c r="L421" s="12">
        <v>45720</v>
      </c>
      <c r="M421" s="12">
        <v>1744</v>
      </c>
      <c r="N421" s="12">
        <v>113</v>
      </c>
      <c r="O421" s="18" t="s">
        <v>52</v>
      </c>
      <c r="P421" s="6">
        <v>40445.596099537041</v>
      </c>
      <c r="Q421" s="16" t="s">
        <v>176</v>
      </c>
      <c r="R421" s="17" t="s">
        <v>2771</v>
      </c>
      <c r="S421" s="14" t="s">
        <v>2772</v>
      </c>
      <c r="T421" s="11"/>
      <c r="U421" s="10" t="str">
        <f>HYPERLINK("https://pbs.twimg.com/profile_images/1049468457601957888/t7f7I3Kb.jpg","View")</f>
        <v>View</v>
      </c>
    </row>
    <row r="422" spans="1:21" ht="51">
      <c r="A422" s="6">
        <v>43426.713518518518</v>
      </c>
      <c r="B422" s="7" t="str">
        <f>HYPERLINK("https://twitter.com/AntonioLantua","@AntonioLantua")</f>
        <v>@AntonioLantua</v>
      </c>
      <c r="C422" s="8" t="s">
        <v>2775</v>
      </c>
      <c r="D422" s="9" t="s">
        <v>2776</v>
      </c>
      <c r="E422" s="10" t="str">
        <f>HYPERLINK("https://twitter.com/AntonioLantua/status/1065773795229818885","1065773795229818885")</f>
        <v>1065773795229818885</v>
      </c>
      <c r="F422" s="11"/>
      <c r="G422" s="11"/>
      <c r="H422" s="11"/>
      <c r="I422" s="12">
        <v>0</v>
      </c>
      <c r="J422" s="12">
        <v>0</v>
      </c>
      <c r="K422" s="13" t="str">
        <f t="shared" ref="K422:K424" si="83">HYPERLINK("http://twitter.com/download/android","Twitter for Android")</f>
        <v>Twitter for Android</v>
      </c>
      <c r="L422" s="12">
        <v>453</v>
      </c>
      <c r="M422" s="12">
        <v>613</v>
      </c>
      <c r="N422" s="12">
        <v>0</v>
      </c>
      <c r="O422" s="15"/>
      <c r="P422" s="6">
        <v>43166.155289351853</v>
      </c>
      <c r="Q422" s="11"/>
      <c r="R422" s="17" t="s">
        <v>2780</v>
      </c>
      <c r="S422" s="11"/>
      <c r="T422" s="11"/>
      <c r="U422" s="10" t="str">
        <f>HYPERLINK("https://pbs.twimg.com/profile_images/1033287596061995015/1T1qR1Rx.jpg","View")</f>
        <v>View</v>
      </c>
    </row>
    <row r="423" spans="1:21" ht="40.799999999999997">
      <c r="A423" s="6">
        <v>43426.711412037039</v>
      </c>
      <c r="B423" s="7" t="str">
        <f>HYPERLINK("https://twitter.com/pilar_balado","@pilar_balado")</f>
        <v>@pilar_balado</v>
      </c>
      <c r="C423" s="8" t="s">
        <v>2783</v>
      </c>
      <c r="D423" s="9" t="s">
        <v>2784</v>
      </c>
      <c r="E423" s="10" t="str">
        <f>HYPERLINK("https://twitter.com/pilar_balado/status/1065773032797544453","1065773032797544453")</f>
        <v>1065773032797544453</v>
      </c>
      <c r="F423" s="14" t="s">
        <v>2788</v>
      </c>
      <c r="G423" s="11"/>
      <c r="H423" s="11"/>
      <c r="I423" s="12">
        <v>0</v>
      </c>
      <c r="J423" s="12">
        <v>0</v>
      </c>
      <c r="K423" s="13" t="str">
        <f t="shared" si="83"/>
        <v>Twitter for Android</v>
      </c>
      <c r="L423" s="12">
        <v>1399</v>
      </c>
      <c r="M423" s="12">
        <v>1016</v>
      </c>
      <c r="N423" s="12">
        <v>186</v>
      </c>
      <c r="O423" s="15"/>
      <c r="P423" s="6">
        <v>41866.482129629629</v>
      </c>
      <c r="Q423" s="11"/>
      <c r="R423" s="17" t="s">
        <v>2791</v>
      </c>
      <c r="S423" s="11"/>
      <c r="T423" s="11"/>
      <c r="U423" s="10" t="str">
        <f>HYPERLINK("https://pbs.twimg.com/profile_images/539512876017664000/3akyRwTo.jpeg","View")</f>
        <v>View</v>
      </c>
    </row>
    <row r="424" spans="1:21" ht="71.400000000000006">
      <c r="A424" s="6">
        <v>43426.71130787037</v>
      </c>
      <c r="B424" s="7" t="str">
        <f>HYPERLINK("https://twitter.com/RosaMariaN9","@RosaMariaN9")</f>
        <v>@RosaMariaN9</v>
      </c>
      <c r="C424" s="8" t="s">
        <v>2794</v>
      </c>
      <c r="D424" s="9" t="s">
        <v>2795</v>
      </c>
      <c r="E424" s="10" t="str">
        <f>HYPERLINK("https://twitter.com/RosaMariaN9/status/1065772992083435522","1065772992083435522")</f>
        <v>1065772992083435522</v>
      </c>
      <c r="F424" s="16" t="s">
        <v>325</v>
      </c>
      <c r="G424" s="14" t="s">
        <v>326</v>
      </c>
      <c r="H424" s="11"/>
      <c r="I424" s="12">
        <v>0</v>
      </c>
      <c r="J424" s="12">
        <v>1</v>
      </c>
      <c r="K424" s="13" t="str">
        <f t="shared" si="83"/>
        <v>Twitter for Android</v>
      </c>
      <c r="L424" s="12">
        <v>35</v>
      </c>
      <c r="M424" s="12">
        <v>34</v>
      </c>
      <c r="N424" s="12">
        <v>0</v>
      </c>
      <c r="O424" s="15"/>
      <c r="P424" s="6">
        <v>43291.465717592597</v>
      </c>
      <c r="Q424" s="11"/>
      <c r="R424" s="17" t="s">
        <v>2797</v>
      </c>
      <c r="S424" s="11"/>
      <c r="T424" s="11"/>
      <c r="U424" s="10" t="str">
        <f>HYPERLINK("https://pbs.twimg.com/profile_images/1018282352576008192/Yyz3vN6U.jpg","View")</f>
        <v>View</v>
      </c>
    </row>
    <row r="425" spans="1:21" ht="20.399999999999999">
      <c r="A425" s="6">
        <v>43426.699143518519</v>
      </c>
      <c r="B425" s="7" t="str">
        <f t="shared" ref="B425:B426" si="84">HYPERLINK("https://twitter.com/CarlosDArtagnan","@CarlosDArtagnan")</f>
        <v>@CarlosDArtagnan</v>
      </c>
      <c r="C425" s="8" t="s">
        <v>1106</v>
      </c>
      <c r="D425" s="9" t="s">
        <v>1107</v>
      </c>
      <c r="E425" s="10" t="str">
        <f>HYPERLINK("https://twitter.com/CarlosDArtagnan/status/1065768583853158400","1065768583853158400")</f>
        <v>1065768583853158400</v>
      </c>
      <c r="F425" s="11"/>
      <c r="G425" s="14" t="s">
        <v>1108</v>
      </c>
      <c r="H425" s="11"/>
      <c r="I425" s="12">
        <v>0</v>
      </c>
      <c r="J425" s="12">
        <v>0</v>
      </c>
      <c r="K425" s="13" t="str">
        <f t="shared" ref="K425:K427" si="85">HYPERLINK("http://twitter.com","Twitter Web Client")</f>
        <v>Twitter Web Client</v>
      </c>
      <c r="L425" s="12">
        <v>199</v>
      </c>
      <c r="M425" s="12">
        <v>182</v>
      </c>
      <c r="N425" s="12">
        <v>3</v>
      </c>
      <c r="O425" s="15"/>
      <c r="P425" s="6">
        <v>41814.593680555554</v>
      </c>
      <c r="Q425" s="11"/>
      <c r="R425" s="19"/>
      <c r="S425" s="11"/>
      <c r="T425" s="11"/>
      <c r="U425" s="10" t="str">
        <f t="shared" ref="U425:U426" si="86">HYPERLINK("https://pbs.twimg.com/profile_images/481549947448201216/G0KAVN5h.jpeg","View")</f>
        <v>View</v>
      </c>
    </row>
    <row r="426" spans="1:21" ht="40.799999999999997">
      <c r="A426" s="6">
        <v>43426.694560185184</v>
      </c>
      <c r="B426" s="7" t="str">
        <f t="shared" si="84"/>
        <v>@CarlosDArtagnan</v>
      </c>
      <c r="C426" s="8" t="s">
        <v>1106</v>
      </c>
      <c r="D426" s="9" t="s">
        <v>1111</v>
      </c>
      <c r="E426" s="10" t="str">
        <f>HYPERLINK("https://twitter.com/CarlosDArtagnan/status/1065766923223355392","1065766923223355392")</f>
        <v>1065766923223355392</v>
      </c>
      <c r="F426" s="16" t="s">
        <v>1112</v>
      </c>
      <c r="G426" s="11"/>
      <c r="H426" s="11"/>
      <c r="I426" s="12">
        <v>0</v>
      </c>
      <c r="J426" s="12">
        <v>0</v>
      </c>
      <c r="K426" s="13" t="str">
        <f t="shared" si="85"/>
        <v>Twitter Web Client</v>
      </c>
      <c r="L426" s="12">
        <v>199</v>
      </c>
      <c r="M426" s="12">
        <v>182</v>
      </c>
      <c r="N426" s="12">
        <v>3</v>
      </c>
      <c r="O426" s="15"/>
      <c r="P426" s="6">
        <v>41814.593680555554</v>
      </c>
      <c r="Q426" s="11"/>
      <c r="R426" s="19"/>
      <c r="S426" s="11"/>
      <c r="T426" s="11"/>
      <c r="U426" s="10" t="str">
        <f t="shared" si="86"/>
        <v>View</v>
      </c>
    </row>
    <row r="427" spans="1:21" ht="20.399999999999999">
      <c r="A427" s="6">
        <v>43426.690960648149</v>
      </c>
      <c r="B427" s="7" t="str">
        <f>HYPERLINK("https://twitter.com/pepeillo61","@pepeillo61")</f>
        <v>@pepeillo61</v>
      </c>
      <c r="C427" s="8" t="s">
        <v>2809</v>
      </c>
      <c r="D427" s="9" t="s">
        <v>2810</v>
      </c>
      <c r="E427" s="10" t="str">
        <f>HYPERLINK("https://twitter.com/pepeillo61/status/1065765620996816897","1065765620996816897")</f>
        <v>1065765620996816897</v>
      </c>
      <c r="F427" s="14" t="s">
        <v>2813</v>
      </c>
      <c r="G427" s="11"/>
      <c r="H427" s="11"/>
      <c r="I427" s="12">
        <v>0</v>
      </c>
      <c r="J427" s="12">
        <v>0</v>
      </c>
      <c r="K427" s="13" t="str">
        <f t="shared" si="85"/>
        <v>Twitter Web Client</v>
      </c>
      <c r="L427" s="12">
        <v>57</v>
      </c>
      <c r="M427" s="12">
        <v>242</v>
      </c>
      <c r="N427" s="12">
        <v>0</v>
      </c>
      <c r="O427" s="15"/>
      <c r="P427" s="6">
        <v>41663.616851851853</v>
      </c>
      <c r="Q427" s="11"/>
      <c r="R427" s="19"/>
      <c r="S427" s="11"/>
      <c r="T427" s="11"/>
      <c r="U427" s="10" t="str">
        <f>HYPERLINK("https://pbs.twimg.com/profile_images/858458854727729153/iUXEoOZ-.jpg","View")</f>
        <v>View</v>
      </c>
    </row>
    <row r="428" spans="1:21" ht="40.799999999999997">
      <c r="A428" s="6">
        <v>43426.688356481478</v>
      </c>
      <c r="B428" s="7" t="str">
        <f>HYPERLINK("https://twitter.com/cuin1425","@cuin1425")</f>
        <v>@cuin1425</v>
      </c>
      <c r="C428" s="8" t="s">
        <v>2817</v>
      </c>
      <c r="D428" s="9" t="s">
        <v>2818</v>
      </c>
      <c r="E428" s="10" t="str">
        <f>HYPERLINK("https://twitter.com/cuin1425/status/1065764677844680704","1065764677844680704")</f>
        <v>1065764677844680704</v>
      </c>
      <c r="F428" s="14" t="s">
        <v>716</v>
      </c>
      <c r="G428" s="11"/>
      <c r="H428" s="11"/>
      <c r="I428" s="12">
        <v>0</v>
      </c>
      <c r="J428" s="12">
        <v>0</v>
      </c>
      <c r="K428" s="13" t="str">
        <f>HYPERLINK("http://www.facebook.com/twitter","Facebook")</f>
        <v>Facebook</v>
      </c>
      <c r="L428" s="12">
        <v>579</v>
      </c>
      <c r="M428" s="12">
        <v>977</v>
      </c>
      <c r="N428" s="12">
        <v>13</v>
      </c>
      <c r="O428" s="15"/>
      <c r="P428" s="6">
        <v>40274.062928240739</v>
      </c>
      <c r="Q428" s="16" t="s">
        <v>2823</v>
      </c>
      <c r="R428" s="17" t="s">
        <v>2824</v>
      </c>
      <c r="S428" s="11"/>
      <c r="T428" s="11"/>
      <c r="U428" s="10" t="str">
        <f>HYPERLINK("https://pbs.twimg.com/profile_images/820055555305832448/qbgSwEuX.jpg","View")</f>
        <v>View</v>
      </c>
    </row>
    <row r="429" spans="1:21" ht="30.6">
      <c r="A429" s="6">
        <v>43426.68277777778</v>
      </c>
      <c r="B429" s="7" t="str">
        <f>HYPERLINK("https://twitter.com/jinakidi","@jinakidi")</f>
        <v>@jinakidi</v>
      </c>
      <c r="C429" s="8" t="s">
        <v>2827</v>
      </c>
      <c r="D429" s="9" t="s">
        <v>1573</v>
      </c>
      <c r="E429" s="10" t="str">
        <f>HYPERLINK("https://twitter.com/jinakidi/status/1065762653417742337","1065762653417742337")</f>
        <v>1065762653417742337</v>
      </c>
      <c r="F429" s="14" t="s">
        <v>1316</v>
      </c>
      <c r="G429" s="11"/>
      <c r="H429" s="11"/>
      <c r="I429" s="12">
        <v>0</v>
      </c>
      <c r="J429" s="12">
        <v>1</v>
      </c>
      <c r="K429" s="13" t="str">
        <f t="shared" ref="K429:K431" si="87">HYPERLINK("http://twitter.com/download/android","Twitter for Android")</f>
        <v>Twitter for Android</v>
      </c>
      <c r="L429" s="12">
        <v>140</v>
      </c>
      <c r="M429" s="12">
        <v>102</v>
      </c>
      <c r="N429" s="12">
        <v>26</v>
      </c>
      <c r="O429" s="15"/>
      <c r="P429" s="6">
        <v>41928.129189814819</v>
      </c>
      <c r="Q429" s="16" t="s">
        <v>28</v>
      </c>
      <c r="R429" s="17" t="s">
        <v>2830</v>
      </c>
      <c r="S429" s="14" t="s">
        <v>2831</v>
      </c>
      <c r="T429" s="11"/>
      <c r="U429" s="10" t="str">
        <f>HYPERLINK("https://pbs.twimg.com/profile_images/523144589364846592/BoSebyQa.jpeg","View")</f>
        <v>View</v>
      </c>
    </row>
    <row r="430" spans="1:21" ht="81.599999999999994">
      <c r="A430" s="6">
        <v>43426.682673611111</v>
      </c>
      <c r="B430" s="7" t="str">
        <f>HYPERLINK("https://twitter.com/SilviaBueu","@SilviaBueu")</f>
        <v>@SilviaBueu</v>
      </c>
      <c r="C430" s="8" t="s">
        <v>1115</v>
      </c>
      <c r="D430" s="9" t="s">
        <v>1116</v>
      </c>
      <c r="E430" s="10" t="str">
        <f>HYPERLINK("https://twitter.com/SilviaBueu/status/1065762616998539264","1065762616998539264")</f>
        <v>1065762616998539264</v>
      </c>
      <c r="F430" s="14" t="s">
        <v>1117</v>
      </c>
      <c r="G430" s="14" t="s">
        <v>1118</v>
      </c>
      <c r="H430" s="11"/>
      <c r="I430" s="12">
        <v>1</v>
      </c>
      <c r="J430" s="12">
        <v>0</v>
      </c>
      <c r="K430" s="13" t="str">
        <f t="shared" si="87"/>
        <v>Twitter for Android</v>
      </c>
      <c r="L430" s="12">
        <v>1284</v>
      </c>
      <c r="M430" s="12">
        <v>2902</v>
      </c>
      <c r="N430" s="12">
        <v>12</v>
      </c>
      <c r="O430" s="15"/>
      <c r="P430" s="6">
        <v>42004.129803240736</v>
      </c>
      <c r="Q430" s="16" t="s">
        <v>1119</v>
      </c>
      <c r="R430" s="17" t="s">
        <v>1120</v>
      </c>
      <c r="S430" s="11"/>
      <c r="T430" s="11"/>
      <c r="U430" s="10" t="str">
        <f>HYPERLINK("https://pbs.twimg.com/profile_images/1016966425901256705/90-8vEv4.jpg","View")</f>
        <v>View</v>
      </c>
    </row>
    <row r="431" spans="1:21" ht="20.399999999999999">
      <c r="A431" s="6">
        <v>43426.681168981479</v>
      </c>
      <c r="B431" s="7" t="str">
        <f>HYPERLINK("https://twitter.com/JuanakinJMS","@JuanakinJMS")</f>
        <v>@JuanakinJMS</v>
      </c>
      <c r="C431" s="8" t="s">
        <v>2841</v>
      </c>
      <c r="D431" s="9" t="s">
        <v>2842</v>
      </c>
      <c r="E431" s="10" t="str">
        <f>HYPERLINK("https://twitter.com/JuanakinJMS/status/1065762070300450817","1065762070300450817")</f>
        <v>1065762070300450817</v>
      </c>
      <c r="F431" s="11"/>
      <c r="G431" s="11"/>
      <c r="H431" s="11"/>
      <c r="I431" s="12">
        <v>0</v>
      </c>
      <c r="J431" s="12">
        <v>0</v>
      </c>
      <c r="K431" s="13" t="str">
        <f t="shared" si="87"/>
        <v>Twitter for Android</v>
      </c>
      <c r="L431" s="12">
        <v>998</v>
      </c>
      <c r="M431" s="12">
        <v>92</v>
      </c>
      <c r="N431" s="12">
        <v>50</v>
      </c>
      <c r="O431" s="15"/>
      <c r="P431" s="6">
        <v>41480.315462962964</v>
      </c>
      <c r="Q431" s="16" t="s">
        <v>2845</v>
      </c>
      <c r="R431" s="17" t="s">
        <v>2846</v>
      </c>
      <c r="S431" s="14" t="s">
        <v>2847</v>
      </c>
      <c r="T431" s="11"/>
      <c r="U431" s="10" t="str">
        <f>HYPERLINK("https://pbs.twimg.com/profile_images/1057987238112444416/YvEGlbyp.jpg","View")</f>
        <v>View</v>
      </c>
    </row>
    <row r="432" spans="1:21" ht="20.399999999999999">
      <c r="A432" s="6">
        <v>43426.677800925929</v>
      </c>
      <c r="B432" s="7" t="str">
        <f>HYPERLINK("https://twitter.com/afrvet","@afrvet")</f>
        <v>@afrvet</v>
      </c>
      <c r="C432" s="8" t="s">
        <v>2850</v>
      </c>
      <c r="D432" s="9" t="s">
        <v>2851</v>
      </c>
      <c r="E432" s="10" t="str">
        <f>HYPERLINK("https://twitter.com/afrvet/status/1065760849351110656","1065760849351110656")</f>
        <v>1065760849351110656</v>
      </c>
      <c r="F432" s="14" t="s">
        <v>2854</v>
      </c>
      <c r="G432" s="11"/>
      <c r="H432" s="11"/>
      <c r="I432" s="12">
        <v>0</v>
      </c>
      <c r="J432" s="12">
        <v>0</v>
      </c>
      <c r="K432" s="13" t="str">
        <f>HYPERLINK("http://twitter.com","Twitter Web Client")</f>
        <v>Twitter Web Client</v>
      </c>
      <c r="L432" s="12">
        <v>1967</v>
      </c>
      <c r="M432" s="12">
        <v>1619</v>
      </c>
      <c r="N432" s="12">
        <v>25</v>
      </c>
      <c r="O432" s="15"/>
      <c r="P432" s="6">
        <v>40000.165173611109</v>
      </c>
      <c r="Q432" s="16" t="s">
        <v>2861</v>
      </c>
      <c r="R432" s="19"/>
      <c r="S432" s="11"/>
      <c r="T432" s="11"/>
      <c r="U432" s="10" t="str">
        <f>HYPERLINK("https://pbs.twimg.com/profile_images/929461322105925633/P_CtDrkl.jpg","View")</f>
        <v>View</v>
      </c>
    </row>
    <row r="433" spans="1:21" ht="13.2">
      <c r="A433" s="6">
        <v>43426.677372685182</v>
      </c>
      <c r="B433" s="7" t="str">
        <f>HYPERLINK("https://twitter.com/BotChus","@BotChus")</f>
        <v>@BotChus</v>
      </c>
      <c r="C433" s="8" t="s">
        <v>2866</v>
      </c>
      <c r="D433" s="9" t="s">
        <v>2867</v>
      </c>
      <c r="E433" s="10" t="str">
        <f>HYPERLINK("https://twitter.com/BotChus/status/1065760697055883264","1065760697055883264")</f>
        <v>1065760697055883264</v>
      </c>
      <c r="F433" s="11"/>
      <c r="G433" s="11"/>
      <c r="H433" s="11"/>
      <c r="I433" s="12">
        <v>0</v>
      </c>
      <c r="J433" s="12">
        <v>0</v>
      </c>
      <c r="K433" s="13" t="str">
        <f>HYPERLINK("https://cheapbotsdonequick.com","Cheap Bots, Done Quick!")</f>
        <v>Cheap Bots, Done Quick!</v>
      </c>
      <c r="L433" s="12">
        <v>28</v>
      </c>
      <c r="M433" s="12">
        <v>0</v>
      </c>
      <c r="N433" s="12">
        <v>0</v>
      </c>
      <c r="O433" s="15"/>
      <c r="P433" s="6">
        <v>42607.118842592594</v>
      </c>
      <c r="Q433" s="16" t="s">
        <v>2870</v>
      </c>
      <c r="R433" s="19"/>
      <c r="S433" s="11"/>
      <c r="T433" s="11"/>
      <c r="U433" s="10" t="str">
        <f>HYPERLINK("https://pbs.twimg.com/profile_images/790326377140674560/gqBslm0g.jpg","View")</f>
        <v>View</v>
      </c>
    </row>
    <row r="434" spans="1:21" ht="61.2">
      <c r="A434" s="6">
        <v>43426.674525462964</v>
      </c>
      <c r="B434" s="7" t="str">
        <f>HYPERLINK("https://twitter.com/lechuzeta","@lechuzeta")</f>
        <v>@lechuzeta</v>
      </c>
      <c r="C434" s="8" t="s">
        <v>1121</v>
      </c>
      <c r="D434" s="9" t="s">
        <v>1122</v>
      </c>
      <c r="E434" s="10" t="str">
        <f>HYPERLINK("https://twitter.com/lechuzeta/status/1065759662597959682","1065759662597959682")</f>
        <v>1065759662597959682</v>
      </c>
      <c r="F434" s="11"/>
      <c r="G434" s="14" t="s">
        <v>1124</v>
      </c>
      <c r="H434" s="11"/>
      <c r="I434" s="12">
        <v>1</v>
      </c>
      <c r="J434" s="12">
        <v>1</v>
      </c>
      <c r="K434" s="13" t="str">
        <f>HYPERLINK("http://twitter.com/download/android","Twitter for Android")</f>
        <v>Twitter for Android</v>
      </c>
      <c r="L434" s="12">
        <v>2518</v>
      </c>
      <c r="M434" s="12">
        <v>3120</v>
      </c>
      <c r="N434" s="12">
        <v>46</v>
      </c>
      <c r="O434" s="15"/>
      <c r="P434" s="6">
        <v>41869.322245370371</v>
      </c>
      <c r="Q434" s="16" t="s">
        <v>1125</v>
      </c>
      <c r="R434" s="17" t="s">
        <v>1126</v>
      </c>
      <c r="S434" s="14" t="s">
        <v>1128</v>
      </c>
      <c r="T434" s="11"/>
      <c r="U434" s="10" t="str">
        <f>HYPERLINK("https://pbs.twimg.com/profile_images/501385939197771776/wuK0x4a9.jpeg","View")</f>
        <v>View</v>
      </c>
    </row>
    <row r="435" spans="1:21" ht="30.6">
      <c r="A435" s="6">
        <v>43426.671203703707</v>
      </c>
      <c r="B435" s="7" t="str">
        <f>HYPERLINK("https://twitter.com/santiagodiez46","@santiagodiez46")</f>
        <v>@santiagodiez46</v>
      </c>
      <c r="C435" s="8" t="s">
        <v>2879</v>
      </c>
      <c r="D435" s="9" t="s">
        <v>2880</v>
      </c>
      <c r="E435" s="10" t="str">
        <f>HYPERLINK("https://twitter.com/santiagodiez46/status/1065758458908168193","1065758458908168193")</f>
        <v>1065758458908168193</v>
      </c>
      <c r="F435" s="11"/>
      <c r="G435" s="14" t="s">
        <v>2883</v>
      </c>
      <c r="H435" s="11"/>
      <c r="I435" s="12">
        <v>1</v>
      </c>
      <c r="J435" s="12">
        <v>0</v>
      </c>
      <c r="K435" s="13" t="str">
        <f>HYPERLINK("https://twitterrific.com/ios","Twitterrific for iOS")</f>
        <v>Twitterrific for iOS</v>
      </c>
      <c r="L435" s="12">
        <v>9</v>
      </c>
      <c r="M435" s="12">
        <v>58</v>
      </c>
      <c r="N435" s="12">
        <v>0</v>
      </c>
      <c r="O435" s="15"/>
      <c r="P435" s="6">
        <v>41730.791932870372</v>
      </c>
      <c r="Q435" s="16" t="s">
        <v>2886</v>
      </c>
      <c r="R435" s="19"/>
      <c r="S435" s="11"/>
      <c r="T435" s="11"/>
      <c r="U435" s="10" t="str">
        <f>HYPERLINK("https://pbs.twimg.com/profile_images/474018818755678208/11nizABr.jpeg","View")</f>
        <v>View</v>
      </c>
    </row>
    <row r="436" spans="1:21" ht="20.399999999999999">
      <c r="A436" s="6">
        <v>43426.662916666668</v>
      </c>
      <c r="B436" s="7" t="str">
        <f>HYPERLINK("https://twitter.com/igerte","@igerte")</f>
        <v>@igerte</v>
      </c>
      <c r="C436" s="8" t="s">
        <v>1131</v>
      </c>
      <c r="D436" s="9" t="s">
        <v>1132</v>
      </c>
      <c r="E436" s="10" t="str">
        <f>HYPERLINK("https://twitter.com/igerte/status/1065755458592493568","1065755458592493568")</f>
        <v>1065755458592493568</v>
      </c>
      <c r="F436" s="11"/>
      <c r="G436" s="11"/>
      <c r="H436" s="11"/>
      <c r="I436" s="12">
        <v>0</v>
      </c>
      <c r="J436" s="12">
        <v>0</v>
      </c>
      <c r="K436" s="13" t="str">
        <f>HYPERLINK("http://twitter.com/download/iphone","Twitter for iPhone")</f>
        <v>Twitter for iPhone</v>
      </c>
      <c r="L436" s="12">
        <v>15</v>
      </c>
      <c r="M436" s="12">
        <v>59</v>
      </c>
      <c r="N436" s="12">
        <v>1</v>
      </c>
      <c r="O436" s="15"/>
      <c r="P436" s="6">
        <v>42038.568090277782</v>
      </c>
      <c r="Q436" s="11"/>
      <c r="R436" s="17" t="s">
        <v>1136</v>
      </c>
      <c r="S436" s="11"/>
      <c r="T436" s="11"/>
      <c r="U436" s="10" t="str">
        <f>HYPERLINK("https://pbs.twimg.com/profile_images/568532665109065729/j5SPx-OV.jpeg","View")</f>
        <v>View</v>
      </c>
    </row>
    <row r="437" spans="1:21" ht="20.399999999999999">
      <c r="A437" s="6">
        <v>43426.661840277782</v>
      </c>
      <c r="B437" s="7" t="str">
        <f>HYPERLINK("https://twitter.com/Politrologo","@Politrologo")</f>
        <v>@Politrologo</v>
      </c>
      <c r="C437" s="27" t="s">
        <v>2894</v>
      </c>
      <c r="D437" s="9" t="s">
        <v>2895</v>
      </c>
      <c r="E437" s="10" t="str">
        <f>HYPERLINK("https://twitter.com/Politrologo/status/1065755067230371840","1065755067230371840")</f>
        <v>1065755067230371840</v>
      </c>
      <c r="F437" s="14" t="s">
        <v>529</v>
      </c>
      <c r="G437" s="11"/>
      <c r="H437" s="11"/>
      <c r="I437" s="12">
        <v>0</v>
      </c>
      <c r="J437" s="12">
        <v>0</v>
      </c>
      <c r="K437" s="13" t="str">
        <f>HYPERLINK("http://twitter.com","Twitter Web Client")</f>
        <v>Twitter Web Client</v>
      </c>
      <c r="L437" s="12">
        <v>72</v>
      </c>
      <c r="M437" s="12">
        <v>655</v>
      </c>
      <c r="N437" s="12">
        <v>0</v>
      </c>
      <c r="O437" s="15"/>
      <c r="P437" s="6">
        <v>43321.732106481482</v>
      </c>
      <c r="Q437" s="16" t="s">
        <v>2896</v>
      </c>
      <c r="R437" s="17" t="s">
        <v>2897</v>
      </c>
      <c r="S437" s="11"/>
      <c r="T437" s="11"/>
      <c r="U437" s="10" t="str">
        <f>HYPERLINK("https://pbs.twimg.com/profile_images/1065282260394549248/ZyPKxUfO.jpg","View")</f>
        <v>View</v>
      </c>
    </row>
    <row r="438" spans="1:21" ht="51">
      <c r="A438" s="6">
        <v>43426.655046296291</v>
      </c>
      <c r="B438" s="7" t="str">
        <f>HYPERLINK("https://twitter.com/capitalfobia2","@capitalfobia2")</f>
        <v>@capitalfobia2</v>
      </c>
      <c r="C438" s="8" t="s">
        <v>2901</v>
      </c>
      <c r="D438" s="9" t="s">
        <v>2903</v>
      </c>
      <c r="E438" s="10" t="str">
        <f>HYPERLINK("https://twitter.com/capitalfobia2/status/1065752604427382784","1065752604427382784")</f>
        <v>1065752604427382784</v>
      </c>
      <c r="F438" s="14" t="s">
        <v>1895</v>
      </c>
      <c r="G438" s="14" t="s">
        <v>1896</v>
      </c>
      <c r="H438" s="11"/>
      <c r="I438" s="12">
        <v>0</v>
      </c>
      <c r="J438" s="12">
        <v>2</v>
      </c>
      <c r="K438" s="13" t="str">
        <f>HYPERLINK("http://twitter.com/download/android","Twitter for Android")</f>
        <v>Twitter for Android</v>
      </c>
      <c r="L438" s="12">
        <v>163</v>
      </c>
      <c r="M438" s="12">
        <v>233</v>
      </c>
      <c r="N438" s="12">
        <v>0</v>
      </c>
      <c r="O438" s="15"/>
      <c r="P438" s="6">
        <v>43259.546655092592</v>
      </c>
      <c r="Q438" s="11"/>
      <c r="R438" s="17" t="s">
        <v>2906</v>
      </c>
      <c r="S438" s="11"/>
      <c r="T438" s="11"/>
      <c r="U438" s="10" t="str">
        <f>HYPERLINK("https://pbs.twimg.com/profile_images/1005180438082662400/wlD7AU19.jpg","View")</f>
        <v>View</v>
      </c>
    </row>
    <row r="439" spans="1:21" ht="20.399999999999999">
      <c r="A439" s="6">
        <v>43426.654328703706</v>
      </c>
      <c r="B439" s="7" t="str">
        <f>HYPERLINK("https://twitter.com/GacetaGlobal","@GacetaGlobal")</f>
        <v>@GacetaGlobal</v>
      </c>
      <c r="C439" s="8" t="s">
        <v>2909</v>
      </c>
      <c r="D439" s="9" t="s">
        <v>2910</v>
      </c>
      <c r="E439" s="10" t="str">
        <f>HYPERLINK("https://twitter.com/GacetaGlobal/status/1065752344447631360","1065752344447631360")</f>
        <v>1065752344447631360</v>
      </c>
      <c r="F439" s="14" t="s">
        <v>2911</v>
      </c>
      <c r="G439" s="14" t="s">
        <v>2912</v>
      </c>
      <c r="H439" s="11"/>
      <c r="I439" s="12">
        <v>0</v>
      </c>
      <c r="J439" s="12">
        <v>0</v>
      </c>
      <c r="K439" s="13" t="str">
        <f>HYPERLINK("http://www.gacetaglobal.com","Gaceta Global")</f>
        <v>Gaceta Global</v>
      </c>
      <c r="L439" s="12">
        <v>704</v>
      </c>
      <c r="M439" s="12">
        <v>685</v>
      </c>
      <c r="N439" s="12">
        <v>0</v>
      </c>
      <c r="O439" s="15"/>
      <c r="P439" s="6">
        <v>42578.543391203704</v>
      </c>
      <c r="Q439" s="11"/>
      <c r="R439" s="17" t="s">
        <v>2915</v>
      </c>
      <c r="S439" s="14" t="s">
        <v>2916</v>
      </c>
      <c r="T439" s="11"/>
      <c r="U439" s="10" t="str">
        <f>HYPERLINK("https://pbs.twimg.com/profile_images/759107842066579456/CFTmbo6A.jpg","View")</f>
        <v>View</v>
      </c>
    </row>
    <row r="440" spans="1:21" ht="20.399999999999999">
      <c r="A440" s="6">
        <v>43426.653067129635</v>
      </c>
      <c r="B440" s="7" t="str">
        <f>HYPERLINK("https://twitter.com/Farinhas__","@Farinhas__")</f>
        <v>@Farinhas__</v>
      </c>
      <c r="C440" s="8" t="s">
        <v>2920</v>
      </c>
      <c r="D440" s="9" t="s">
        <v>2921</v>
      </c>
      <c r="E440" s="10" t="str">
        <f>HYPERLINK("https://twitter.com/Farinhas__/status/1065751889386590208","1065751889386590208")</f>
        <v>1065751889386590208</v>
      </c>
      <c r="F440" s="11"/>
      <c r="G440" s="11"/>
      <c r="H440" s="11"/>
      <c r="I440" s="12">
        <v>0</v>
      </c>
      <c r="J440" s="12">
        <v>0</v>
      </c>
      <c r="K440" s="13" t="str">
        <f t="shared" ref="K440:K441" si="88">HYPERLINK("http://twitter.com/download/android","Twitter for Android")</f>
        <v>Twitter for Android</v>
      </c>
      <c r="L440" s="12">
        <v>230</v>
      </c>
      <c r="M440" s="12">
        <v>416</v>
      </c>
      <c r="N440" s="12">
        <v>1</v>
      </c>
      <c r="O440" s="15"/>
      <c r="P440" s="6">
        <v>41240.335509259261</v>
      </c>
      <c r="Q440" s="16" t="s">
        <v>2924</v>
      </c>
      <c r="R440" s="17" t="s">
        <v>2925</v>
      </c>
      <c r="S440" s="14" t="s">
        <v>2926</v>
      </c>
      <c r="T440" s="11"/>
      <c r="U440" s="10" t="str">
        <f>HYPERLINK("https://pbs.twimg.com/profile_images/1014579358302900224/COahNH_l.jpg","View")</f>
        <v>View</v>
      </c>
    </row>
    <row r="441" spans="1:21" ht="30.6">
      <c r="A441" s="6">
        <v>43426.652569444443</v>
      </c>
      <c r="B441" s="7" t="str">
        <f>HYPERLINK("https://twitter.com/josemake_up","@josemake_up")</f>
        <v>@josemake_up</v>
      </c>
      <c r="C441" s="8" t="s">
        <v>1139</v>
      </c>
      <c r="D441" s="9" t="s">
        <v>1140</v>
      </c>
      <c r="E441" s="10" t="str">
        <f>HYPERLINK("https://twitter.com/josemake_up/status/1065751707244728321","1065751707244728321")</f>
        <v>1065751707244728321</v>
      </c>
      <c r="F441" s="14" t="s">
        <v>1142</v>
      </c>
      <c r="G441" s="11"/>
      <c r="H441" s="11"/>
      <c r="I441" s="12">
        <v>0</v>
      </c>
      <c r="J441" s="12">
        <v>1</v>
      </c>
      <c r="K441" s="13" t="str">
        <f t="shared" si="88"/>
        <v>Twitter for Android</v>
      </c>
      <c r="L441" s="12">
        <v>3478</v>
      </c>
      <c r="M441" s="12">
        <v>4046</v>
      </c>
      <c r="N441" s="12">
        <v>39</v>
      </c>
      <c r="O441" s="15"/>
      <c r="P441" s="6">
        <v>39996.631226851852</v>
      </c>
      <c r="Q441" s="16" t="s">
        <v>1145</v>
      </c>
      <c r="R441" s="17" t="s">
        <v>1146</v>
      </c>
      <c r="S441" s="11"/>
      <c r="T441" s="11"/>
      <c r="U441" s="10" t="str">
        <f>HYPERLINK("https://pbs.twimg.com/profile_images/953288675252670466/16XoDFMm.jpg","View")</f>
        <v>View</v>
      </c>
    </row>
    <row r="442" spans="1:21" ht="20.399999999999999">
      <c r="A442" s="6">
        <v>43426.648969907408</v>
      </c>
      <c r="B442" s="7" t="str">
        <f>HYPERLINK("https://twitter.com/Juanquinnones","@Juanquinnones")</f>
        <v>@Juanquinnones</v>
      </c>
      <c r="C442" s="8" t="s">
        <v>1147</v>
      </c>
      <c r="D442" s="9" t="s">
        <v>1148</v>
      </c>
      <c r="E442" s="10" t="str">
        <f>HYPERLINK("https://twitter.com/Juanquinnones/status/1065750403013316608","1065750403013316608")</f>
        <v>1065750403013316608</v>
      </c>
      <c r="F442" s="11"/>
      <c r="G442" s="14" t="s">
        <v>1150</v>
      </c>
      <c r="H442" s="11"/>
      <c r="I442" s="12">
        <v>0</v>
      </c>
      <c r="J442" s="12">
        <v>0</v>
      </c>
      <c r="K442" s="13" t="str">
        <f t="shared" ref="K442:K443" si="89">HYPERLINK("http://twitter.com/download/iphone","Twitter for iPhone")</f>
        <v>Twitter for iPhone</v>
      </c>
      <c r="L442" s="12">
        <v>507</v>
      </c>
      <c r="M442" s="12">
        <v>2419</v>
      </c>
      <c r="N442" s="12">
        <v>6</v>
      </c>
      <c r="O442" s="15"/>
      <c r="P442" s="6">
        <v>40573.616979166669</v>
      </c>
      <c r="Q442" s="16" t="s">
        <v>1152</v>
      </c>
      <c r="R442" s="17" t="s">
        <v>1153</v>
      </c>
      <c r="S442" s="11"/>
      <c r="T442" s="11"/>
      <c r="U442" s="10" t="str">
        <f>HYPERLINK("https://pbs.twimg.com/profile_images/998109964164984834/RS1ue5fU.jpg","View")</f>
        <v>View</v>
      </c>
    </row>
    <row r="443" spans="1:21" ht="20.399999999999999">
      <c r="A443" s="6">
        <v>43426.647002314814</v>
      </c>
      <c r="B443" s="7" t="str">
        <f>HYPERLINK("https://twitter.com/MagdaQR","@MagdaQR")</f>
        <v>@MagdaQR</v>
      </c>
      <c r="C443" s="8" t="s">
        <v>1158</v>
      </c>
      <c r="D443" s="9" t="s">
        <v>1159</v>
      </c>
      <c r="E443" s="10" t="str">
        <f>HYPERLINK("https://twitter.com/MagdaQR/status/1065749688324931585","1065749688324931585")</f>
        <v>1065749688324931585</v>
      </c>
      <c r="F443" s="14" t="s">
        <v>1160</v>
      </c>
      <c r="G443" s="11"/>
      <c r="H443" s="11"/>
      <c r="I443" s="12">
        <v>0</v>
      </c>
      <c r="J443" s="12">
        <v>0</v>
      </c>
      <c r="K443" s="13" t="str">
        <f t="shared" si="89"/>
        <v>Twitter for iPhone</v>
      </c>
      <c r="L443" s="12">
        <v>179</v>
      </c>
      <c r="M443" s="12">
        <v>415</v>
      </c>
      <c r="N443" s="12">
        <v>9</v>
      </c>
      <c r="O443" s="15"/>
      <c r="P443" s="6">
        <v>41292.585891203707</v>
      </c>
      <c r="Q443" s="11"/>
      <c r="R443" s="17" t="s">
        <v>1162</v>
      </c>
      <c r="S443" s="11"/>
      <c r="T443" s="11"/>
      <c r="U443" s="10" t="str">
        <f>HYPERLINK("https://pbs.twimg.com/profile_images/1017165496280666112/YVBuLPNe.jpg","View")</f>
        <v>View</v>
      </c>
    </row>
    <row r="444" spans="1:21" ht="81.599999999999994">
      <c r="A444" s="6">
        <v>43426.645844907413</v>
      </c>
      <c r="B444" s="7" t="str">
        <f>HYPERLINK("https://twitter.com/iaiestaran","@iaiestaran")</f>
        <v>@iaiestaran</v>
      </c>
      <c r="C444" s="8" t="s">
        <v>2943</v>
      </c>
      <c r="D444" s="9" t="s">
        <v>2944</v>
      </c>
      <c r="E444" s="10" t="str">
        <f>HYPERLINK("https://twitter.com/iaiestaran/status/1065749270991650816","1065749270991650816")</f>
        <v>1065749270991650816</v>
      </c>
      <c r="F444" s="14" t="s">
        <v>1895</v>
      </c>
      <c r="G444" s="14" t="s">
        <v>1896</v>
      </c>
      <c r="H444" s="11"/>
      <c r="I444" s="12">
        <v>143</v>
      </c>
      <c r="J444" s="12">
        <v>223</v>
      </c>
      <c r="K444" s="13" t="str">
        <f>HYPERLINK("http://twitter.com/download/android","Twitter for Android")</f>
        <v>Twitter for Android</v>
      </c>
      <c r="L444" s="12">
        <v>13630</v>
      </c>
      <c r="M444" s="12">
        <v>376</v>
      </c>
      <c r="N444" s="12">
        <v>161</v>
      </c>
      <c r="O444" s="15"/>
      <c r="P444" s="6">
        <v>41477.659583333334</v>
      </c>
      <c r="Q444" s="16" t="s">
        <v>2946</v>
      </c>
      <c r="R444" s="17" t="s">
        <v>2947</v>
      </c>
      <c r="S444" s="14" t="s">
        <v>2948</v>
      </c>
      <c r="T444" s="11"/>
      <c r="U444" s="10" t="str">
        <f>HYPERLINK("https://pbs.twimg.com/profile_images/422534938974380032/SOldVFi_.png","View")</f>
        <v>View</v>
      </c>
    </row>
    <row r="445" spans="1:21" ht="40.799999999999997">
      <c r="A445" s="6">
        <v>43426.642465277779</v>
      </c>
      <c r="B445" s="7" t="str">
        <f>HYPERLINK("https://twitter.com/trade4returns","@trade4returns")</f>
        <v>@trade4returns</v>
      </c>
      <c r="C445" s="8" t="s">
        <v>2951</v>
      </c>
      <c r="D445" s="9" t="s">
        <v>2952</v>
      </c>
      <c r="E445" s="10" t="str">
        <f>HYPERLINK("https://twitter.com/trade4returns/status/1065748044124225536","1065748044124225536")</f>
        <v>1065748044124225536</v>
      </c>
      <c r="F445" s="11"/>
      <c r="G445" s="14" t="s">
        <v>2955</v>
      </c>
      <c r="H445" s="11"/>
      <c r="I445" s="12">
        <v>0</v>
      </c>
      <c r="J445" s="12">
        <v>3</v>
      </c>
      <c r="K445" s="13" t="str">
        <f>HYPERLINK("https://twitterrific.com/mac","Twitterrific for Mac")</f>
        <v>Twitterrific for Mac</v>
      </c>
      <c r="L445" s="12">
        <v>4430</v>
      </c>
      <c r="M445" s="12">
        <v>76</v>
      </c>
      <c r="N445" s="12">
        <v>130</v>
      </c>
      <c r="O445" s="15"/>
      <c r="P445" s="6">
        <v>41127.590833333335</v>
      </c>
      <c r="Q445" s="16" t="s">
        <v>2958</v>
      </c>
      <c r="R445" s="17" t="s">
        <v>2959</v>
      </c>
      <c r="S445" s="14" t="s">
        <v>2961</v>
      </c>
      <c r="T445" s="11"/>
      <c r="U445" s="10" t="str">
        <f>HYPERLINK("https://pbs.twimg.com/profile_images/1051573699520983040/groLI8bw.jpg","View")</f>
        <v>View</v>
      </c>
    </row>
    <row r="446" spans="1:21" ht="51">
      <c r="A446" s="6">
        <v>43426.641099537039</v>
      </c>
      <c r="B446" s="7" t="str">
        <f>HYPERLINK("https://twitter.com/_ISOFYR","@_ISOFYR")</f>
        <v>@_ISOFYR</v>
      </c>
      <c r="C446" s="8" t="s">
        <v>1165</v>
      </c>
      <c r="D446" s="9" t="s">
        <v>1166</v>
      </c>
      <c r="E446" s="10" t="str">
        <f>HYPERLINK("https://twitter.com/_ISOFYR/status/1065747549980639232","1065747549980639232")</f>
        <v>1065747549980639232</v>
      </c>
      <c r="F446" s="11"/>
      <c r="G446" s="14" t="s">
        <v>1167</v>
      </c>
      <c r="H446" s="11"/>
      <c r="I446" s="12">
        <v>1</v>
      </c>
      <c r="J446" s="12">
        <v>2</v>
      </c>
      <c r="K446" s="13" t="str">
        <f>HYPERLINK("https://about.twitter.com/products/tweetdeck","TweetDeck")</f>
        <v>TweetDeck</v>
      </c>
      <c r="L446" s="12">
        <v>390</v>
      </c>
      <c r="M446" s="12">
        <v>1009</v>
      </c>
      <c r="N446" s="12">
        <v>5</v>
      </c>
      <c r="O446" s="15"/>
      <c r="P446" s="6">
        <v>43015.385127314818</v>
      </c>
      <c r="Q446" s="11"/>
      <c r="R446" s="17" t="s">
        <v>1170</v>
      </c>
      <c r="S446" s="14" t="s">
        <v>1171</v>
      </c>
      <c r="T446" s="11"/>
      <c r="U446" s="10" t="str">
        <f>HYPERLINK("https://pbs.twimg.com/profile_images/920962536148819968/IRLqortF.jpg","View")</f>
        <v>View</v>
      </c>
    </row>
    <row r="447" spans="1:21" ht="51">
      <c r="A447" s="6">
        <v>43426.638703703706</v>
      </c>
      <c r="B447" s="7" t="str">
        <f>HYPERLINK("https://twitter.com/LFLE59","@LFLE59")</f>
        <v>@LFLE59</v>
      </c>
      <c r="C447" s="8" t="s">
        <v>1174</v>
      </c>
      <c r="D447" s="9" t="s">
        <v>1176</v>
      </c>
      <c r="E447" s="10" t="str">
        <f>HYPERLINK("https://twitter.com/LFLE59/status/1065746681214439424","1065746681214439424")</f>
        <v>1065746681214439424</v>
      </c>
      <c r="F447" s="11"/>
      <c r="G447" s="14" t="s">
        <v>1178</v>
      </c>
      <c r="H447" s="11"/>
      <c r="I447" s="12">
        <v>4</v>
      </c>
      <c r="J447" s="12">
        <v>40</v>
      </c>
      <c r="K447" s="13" t="str">
        <f>HYPERLINK("http://twitter.com/download/android","Twitter for Android")</f>
        <v>Twitter for Android</v>
      </c>
      <c r="L447" s="12">
        <v>29</v>
      </c>
      <c r="M447" s="12">
        <v>153</v>
      </c>
      <c r="N447" s="12">
        <v>0</v>
      </c>
      <c r="O447" s="15"/>
      <c r="P447" s="6">
        <v>43221.590277777781</v>
      </c>
      <c r="Q447" s="16" t="s">
        <v>1180</v>
      </c>
      <c r="R447" s="17" t="s">
        <v>1181</v>
      </c>
      <c r="S447" s="11"/>
      <c r="T447" s="11"/>
      <c r="U447" s="10" t="str">
        <f>HYPERLINK("https://pbs.twimg.com/profile_images/991490161165963265/eu8t7Xp7.jpg","View")</f>
        <v>View</v>
      </c>
    </row>
    <row r="448" spans="1:21" ht="30.6">
      <c r="A448" s="6">
        <v>43426.637442129635</v>
      </c>
      <c r="B448" s="7" t="str">
        <f>HYPERLINK("https://twitter.com/angsimpa","@angsimpa")</f>
        <v>@angsimpa</v>
      </c>
      <c r="C448" s="8" t="s">
        <v>2971</v>
      </c>
      <c r="D448" s="9" t="s">
        <v>2972</v>
      </c>
      <c r="E448" s="10" t="str">
        <f>HYPERLINK("https://twitter.com/angsimpa/status/1065746227713777664","1065746227713777664")</f>
        <v>1065746227713777664</v>
      </c>
      <c r="F448" s="14" t="s">
        <v>529</v>
      </c>
      <c r="G448" s="11"/>
      <c r="H448" s="11"/>
      <c r="I448" s="12">
        <v>0</v>
      </c>
      <c r="J448" s="12">
        <v>0</v>
      </c>
      <c r="K448" s="13" t="str">
        <f t="shared" ref="K448:K449" si="90">HYPERLINK("http://twitter.com","Twitter Web Client")</f>
        <v>Twitter Web Client</v>
      </c>
      <c r="L448" s="12">
        <v>4292</v>
      </c>
      <c r="M448" s="12">
        <v>3984</v>
      </c>
      <c r="N448" s="12">
        <v>171</v>
      </c>
      <c r="O448" s="15"/>
      <c r="P448" s="6">
        <v>40550.661354166667</v>
      </c>
      <c r="Q448" s="11"/>
      <c r="R448" s="17" t="s">
        <v>2975</v>
      </c>
      <c r="S448" s="11"/>
      <c r="T448" s="11"/>
      <c r="U448" s="10" t="str">
        <f>HYPERLINK("https://pbs.twimg.com/profile_images/1021373803350450177/YdPasB9Q.jpg","View")</f>
        <v>View</v>
      </c>
    </row>
    <row r="449" spans="1:21" ht="81.599999999999994">
      <c r="A449" s="6">
        <v>43426.637060185181</v>
      </c>
      <c r="B449" s="7" t="str">
        <f>HYPERLINK("https://twitter.com/huertaff","@huertaff")</f>
        <v>@huertaff</v>
      </c>
      <c r="C449" s="8" t="s">
        <v>1182</v>
      </c>
      <c r="D449" s="9" t="s">
        <v>1183</v>
      </c>
      <c r="E449" s="10" t="str">
        <f>HYPERLINK("https://twitter.com/huertaff/status/1065746085686247424","1065746085686247424")</f>
        <v>1065746085686247424</v>
      </c>
      <c r="F449" s="16" t="s">
        <v>1184</v>
      </c>
      <c r="G449" s="11"/>
      <c r="H449" s="11"/>
      <c r="I449" s="12">
        <v>0</v>
      </c>
      <c r="J449" s="12">
        <v>2</v>
      </c>
      <c r="K449" s="13" t="str">
        <f t="shared" si="90"/>
        <v>Twitter Web Client</v>
      </c>
      <c r="L449" s="12">
        <v>452</v>
      </c>
      <c r="M449" s="12">
        <v>402</v>
      </c>
      <c r="N449" s="12">
        <v>10</v>
      </c>
      <c r="O449" s="15"/>
      <c r="P449" s="6">
        <v>40634.527870370366</v>
      </c>
      <c r="Q449" s="11"/>
      <c r="R449" s="19"/>
      <c r="S449" s="11"/>
      <c r="T449" s="11"/>
      <c r="U449" s="10" t="str">
        <f>HYPERLINK("https://pbs.twimg.com/profile_images/957916198322298880/S6d6VIrs.jpg","View")</f>
        <v>View</v>
      </c>
    </row>
    <row r="450" spans="1:21" ht="91.8">
      <c r="A450" s="6">
        <v>43426.636782407411</v>
      </c>
      <c r="B450" s="7" t="str">
        <f>HYPERLINK("https://twitter.com/SrVenezolano","@SrVenezolano")</f>
        <v>@SrVenezolano</v>
      </c>
      <c r="C450" s="8" t="s">
        <v>2980</v>
      </c>
      <c r="D450" s="9" t="s">
        <v>2981</v>
      </c>
      <c r="E450" s="10" t="str">
        <f>HYPERLINK("https://twitter.com/SrVenezolano/status/1065745986994212864","1065745986994212864")</f>
        <v>1065745986994212864</v>
      </c>
      <c r="F450" s="16" t="s">
        <v>212</v>
      </c>
      <c r="G450" s="14" t="s">
        <v>213</v>
      </c>
      <c r="H450" s="11"/>
      <c r="I450" s="12">
        <v>0</v>
      </c>
      <c r="J450" s="12">
        <v>0</v>
      </c>
      <c r="K450" s="13" t="str">
        <f>HYPERLINK("http://twitter.com/download/android","Twitter for Android")</f>
        <v>Twitter for Android</v>
      </c>
      <c r="L450" s="12">
        <v>2968</v>
      </c>
      <c r="M450" s="12">
        <v>3067</v>
      </c>
      <c r="N450" s="12">
        <v>57</v>
      </c>
      <c r="O450" s="15"/>
      <c r="P450" s="6">
        <v>40919.520937499998</v>
      </c>
      <c r="Q450" s="16" t="s">
        <v>620</v>
      </c>
      <c r="R450" s="17" t="s">
        <v>2983</v>
      </c>
      <c r="S450" s="14" t="s">
        <v>2984</v>
      </c>
      <c r="T450" s="11"/>
      <c r="U450" s="10" t="str">
        <f>HYPERLINK("https://pbs.twimg.com/profile_images/1038923015470370816/zlbK6Ljd.jpg","View")</f>
        <v>View</v>
      </c>
    </row>
    <row r="451" spans="1:21" ht="30.6">
      <c r="A451" s="6">
        <v>43426.636689814812</v>
      </c>
      <c r="B451" s="7" t="str">
        <f>HYPERLINK("https://twitter.com/MioCid_DeLezo","@MioCid_DeLezo")</f>
        <v>@MioCid_DeLezo</v>
      </c>
      <c r="C451" s="8" t="s">
        <v>2986</v>
      </c>
      <c r="D451" s="9" t="s">
        <v>2987</v>
      </c>
      <c r="E451" s="10" t="str">
        <f>HYPERLINK("https://twitter.com/MioCid_DeLezo/status/1065745952491937793","1065745952491937793")</f>
        <v>1065745952491937793</v>
      </c>
      <c r="F451" s="14" t="s">
        <v>2989</v>
      </c>
      <c r="G451" s="11"/>
      <c r="H451" s="11"/>
      <c r="I451" s="12">
        <v>0</v>
      </c>
      <c r="J451" s="12">
        <v>0</v>
      </c>
      <c r="K451" s="13" t="str">
        <f>HYPERLINK("http://twitter.com","Twitter Web Client")</f>
        <v>Twitter Web Client</v>
      </c>
      <c r="L451" s="12">
        <v>87</v>
      </c>
      <c r="M451" s="12">
        <v>113</v>
      </c>
      <c r="N451" s="12">
        <v>0</v>
      </c>
      <c r="O451" s="15"/>
      <c r="P451" s="6">
        <v>43392.336134259254</v>
      </c>
      <c r="Q451" s="16" t="s">
        <v>28</v>
      </c>
      <c r="R451" s="17" t="s">
        <v>2990</v>
      </c>
      <c r="S451" s="11"/>
      <c r="T451" s="11"/>
      <c r="U451" s="10" t="str">
        <f>HYPERLINK("https://pbs.twimg.com/profile_images/1053302446120992769/7MEIupSN.jpg","View")</f>
        <v>View</v>
      </c>
    </row>
    <row r="452" spans="1:21" ht="30.6">
      <c r="A452" s="6">
        <v>43426.634328703702</v>
      </c>
      <c r="B452" s="7" t="str">
        <f>HYPERLINK("https://twitter.com/corralcpedro","@corralcpedro")</f>
        <v>@corralcpedro</v>
      </c>
      <c r="C452" s="8" t="s">
        <v>2991</v>
      </c>
      <c r="D452" s="9" t="s">
        <v>2992</v>
      </c>
      <c r="E452" s="10" t="str">
        <f>HYPERLINK("https://twitter.com/corralcpedro/status/1065745095536910337","1065745095536910337")</f>
        <v>1065745095536910337</v>
      </c>
      <c r="F452" s="14" t="s">
        <v>879</v>
      </c>
      <c r="G452" s="11"/>
      <c r="H452" s="11"/>
      <c r="I452" s="12">
        <v>22</v>
      </c>
      <c r="J452" s="12">
        <v>20</v>
      </c>
      <c r="K452" s="13" t="str">
        <f>HYPERLINK("http://twitter.com/download/iphone","Twitter for iPhone")</f>
        <v>Twitter for iPhone</v>
      </c>
      <c r="L452" s="12">
        <v>7314</v>
      </c>
      <c r="M452" s="12">
        <v>2978</v>
      </c>
      <c r="N452" s="12">
        <v>126</v>
      </c>
      <c r="O452" s="15"/>
      <c r="P452" s="6">
        <v>41156.231249999997</v>
      </c>
      <c r="Q452" s="11"/>
      <c r="R452" s="17" t="s">
        <v>2995</v>
      </c>
      <c r="S452" s="14" t="s">
        <v>2996</v>
      </c>
      <c r="T452" s="11"/>
      <c r="U452" s="10" t="str">
        <f>HYPERLINK("https://pbs.twimg.com/profile_images/1063140286036099072/ebbul5Y2.jpg","View")</f>
        <v>View</v>
      </c>
    </row>
    <row r="453" spans="1:21" ht="20.399999999999999">
      <c r="A453" s="6">
        <v>43426.633472222224</v>
      </c>
      <c r="B453" s="7" t="str">
        <f>HYPERLINK("https://twitter.com/bember52","@bember52")</f>
        <v>@bember52</v>
      </c>
      <c r="C453" s="8" t="s">
        <v>2999</v>
      </c>
      <c r="D453" s="9" t="s">
        <v>3000</v>
      </c>
      <c r="E453" s="10" t="str">
        <f>HYPERLINK("https://twitter.com/bember52/status/1065744788106985473","1065744788106985473")</f>
        <v>1065744788106985473</v>
      </c>
      <c r="F453" s="14" t="s">
        <v>3001</v>
      </c>
      <c r="G453" s="11"/>
      <c r="H453" s="11"/>
      <c r="I453" s="12">
        <v>0</v>
      </c>
      <c r="J453" s="12">
        <v>0</v>
      </c>
      <c r="K453" s="13" t="str">
        <f t="shared" ref="K453:K454" si="91">HYPERLINK("http://twitter.com","Twitter Web Client")</f>
        <v>Twitter Web Client</v>
      </c>
      <c r="L453" s="12">
        <v>198</v>
      </c>
      <c r="M453" s="12">
        <v>308</v>
      </c>
      <c r="N453" s="12">
        <v>7</v>
      </c>
      <c r="O453" s="15"/>
      <c r="P453" s="6">
        <v>40935.111898148149</v>
      </c>
      <c r="Q453" s="11"/>
      <c r="R453" s="17" t="s">
        <v>3004</v>
      </c>
      <c r="S453" s="11"/>
      <c r="T453" s="11"/>
      <c r="U453" s="10" t="str">
        <f>HYPERLINK("https://pbs.twimg.com/profile_images/1055904893800722436/c3wTvoHR.jpg","View")</f>
        <v>View</v>
      </c>
    </row>
    <row r="454" spans="1:21" ht="20.399999999999999">
      <c r="A454" s="6">
        <v>43426.633136574077</v>
      </c>
      <c r="B454" s="7" t="str">
        <f>HYPERLINK("https://twitter.com/JESUSMANYA","@JESUSMANYA")</f>
        <v>@JESUSMANYA</v>
      </c>
      <c r="C454" s="8" t="s">
        <v>3006</v>
      </c>
      <c r="D454" s="9" t="s">
        <v>768</v>
      </c>
      <c r="E454" s="10" t="str">
        <f>HYPERLINK("https://twitter.com/JESUSMANYA/status/1065744666732228608","1065744666732228608")</f>
        <v>1065744666732228608</v>
      </c>
      <c r="F454" s="14" t="s">
        <v>529</v>
      </c>
      <c r="G454" s="11"/>
      <c r="H454" s="11"/>
      <c r="I454" s="12">
        <v>0</v>
      </c>
      <c r="J454" s="12">
        <v>0</v>
      </c>
      <c r="K454" s="13" t="str">
        <f t="shared" si="91"/>
        <v>Twitter Web Client</v>
      </c>
      <c r="L454" s="12">
        <v>404</v>
      </c>
      <c r="M454" s="12">
        <v>235</v>
      </c>
      <c r="N454" s="12">
        <v>4</v>
      </c>
      <c r="O454" s="15"/>
      <c r="P454" s="6">
        <v>40196.396018518521</v>
      </c>
      <c r="Q454" s="16" t="s">
        <v>3010</v>
      </c>
      <c r="R454" s="17" t="s">
        <v>3011</v>
      </c>
      <c r="S454" s="14" t="s">
        <v>3012</v>
      </c>
      <c r="T454" s="11"/>
      <c r="U454" s="10" t="str">
        <f>HYPERLINK("https://pbs.twimg.com/profile_images/995084187723030528/K-iTXrPk.jpg","View")</f>
        <v>View</v>
      </c>
    </row>
    <row r="455" spans="1:21" ht="40.799999999999997">
      <c r="A455" s="6">
        <v>43426.632349537038</v>
      </c>
      <c r="B455" s="7" t="str">
        <f>HYPERLINK("https://twitter.com/_espatricia","@_espatricia")</f>
        <v>@_espatricia</v>
      </c>
      <c r="C455" s="8" t="s">
        <v>3015</v>
      </c>
      <c r="D455" s="9" t="s">
        <v>3016</v>
      </c>
      <c r="E455" s="10" t="str">
        <f>HYPERLINK("https://twitter.com/_espatricia/status/1065744378277359616","1065744378277359616")</f>
        <v>1065744378277359616</v>
      </c>
      <c r="F455" s="11"/>
      <c r="G455" s="11"/>
      <c r="H455" s="11"/>
      <c r="I455" s="12">
        <v>0</v>
      </c>
      <c r="J455" s="12">
        <v>9</v>
      </c>
      <c r="K455" s="13" t="str">
        <f t="shared" ref="K455:K457" si="92">HYPERLINK("http://twitter.com/download/android","Twitter for Android")</f>
        <v>Twitter for Android</v>
      </c>
      <c r="L455" s="12">
        <v>16345</v>
      </c>
      <c r="M455" s="12">
        <v>1609</v>
      </c>
      <c r="N455" s="12">
        <v>224</v>
      </c>
      <c r="O455" s="15"/>
      <c r="P455" s="6">
        <v>40948.593171296292</v>
      </c>
      <c r="Q455" s="16" t="s">
        <v>3020</v>
      </c>
      <c r="R455" s="17" t="s">
        <v>3021</v>
      </c>
      <c r="S455" s="14" t="s">
        <v>3022</v>
      </c>
      <c r="T455" s="11"/>
      <c r="U455" s="10" t="str">
        <f>HYPERLINK("https://pbs.twimg.com/profile_images/953942549999374338/SoKERY4e.jpg","View")</f>
        <v>View</v>
      </c>
    </row>
    <row r="456" spans="1:21" ht="51">
      <c r="A456" s="6">
        <v>43426.631342592591</v>
      </c>
      <c r="B456" s="7" t="str">
        <f>HYPERLINK("https://twitter.com/TomasFe14020511","@TomasFe14020511")</f>
        <v>@TomasFe14020511</v>
      </c>
      <c r="C456" s="8" t="s">
        <v>1185</v>
      </c>
      <c r="D456" s="9" t="s">
        <v>1186</v>
      </c>
      <c r="E456" s="10" t="str">
        <f>HYPERLINK("https://twitter.com/TomasFe14020511/status/1065744014786342913","1065744014786342913")</f>
        <v>1065744014786342913</v>
      </c>
      <c r="F456" s="14" t="s">
        <v>1187</v>
      </c>
      <c r="G456" s="11"/>
      <c r="H456" s="11"/>
      <c r="I456" s="12">
        <v>0</v>
      </c>
      <c r="J456" s="12">
        <v>0</v>
      </c>
      <c r="K456" s="13" t="str">
        <f t="shared" si="92"/>
        <v>Twitter for Android</v>
      </c>
      <c r="L456" s="12">
        <v>1321</v>
      </c>
      <c r="M456" s="12">
        <v>1311</v>
      </c>
      <c r="N456" s="12">
        <v>5</v>
      </c>
      <c r="O456" s="15"/>
      <c r="P456" s="6">
        <v>43048.962407407409</v>
      </c>
      <c r="Q456" s="16" t="s">
        <v>1188</v>
      </c>
      <c r="R456" s="17" t="s">
        <v>1189</v>
      </c>
      <c r="S456" s="11"/>
      <c r="T456" s="11"/>
      <c r="U456" s="10" t="str">
        <f>HYPERLINK("https://pbs.twimg.com/profile_images/991457940627447813/C8Mm4Yiy.jpg","View")</f>
        <v>View</v>
      </c>
    </row>
    <row r="457" spans="1:21" ht="30.6">
      <c r="A457" s="6">
        <v>43426.629733796297</v>
      </c>
      <c r="B457" s="7" t="str">
        <f>HYPERLINK("https://twitter.com/GelGelder","@GelGelder")</f>
        <v>@GelGelder</v>
      </c>
      <c r="C457" s="8" t="s">
        <v>3027</v>
      </c>
      <c r="D457" s="9" t="s">
        <v>3028</v>
      </c>
      <c r="E457" s="10" t="str">
        <f>HYPERLINK("https://twitter.com/GelGelder/status/1065743431849451520","1065743431849451520")</f>
        <v>1065743431849451520</v>
      </c>
      <c r="F457" s="14" t="s">
        <v>1821</v>
      </c>
      <c r="G457" s="11"/>
      <c r="H457" s="11"/>
      <c r="I457" s="12">
        <v>1</v>
      </c>
      <c r="J457" s="12">
        <v>0</v>
      </c>
      <c r="K457" s="13" t="str">
        <f t="shared" si="92"/>
        <v>Twitter for Android</v>
      </c>
      <c r="L457" s="12">
        <v>2678</v>
      </c>
      <c r="M457" s="12">
        <v>1322</v>
      </c>
      <c r="N457" s="12">
        <v>6</v>
      </c>
      <c r="O457" s="15"/>
      <c r="P457" s="6">
        <v>40747.266180555554</v>
      </c>
      <c r="Q457" s="16" t="s">
        <v>3030</v>
      </c>
      <c r="R457" s="17" t="s">
        <v>3031</v>
      </c>
      <c r="S457" s="11"/>
      <c r="T457" s="11"/>
      <c r="U457" s="10" t="str">
        <f>HYPERLINK("https://pbs.twimg.com/profile_images/687746564006264832/0GqvYzpg.jpg","View")</f>
        <v>View</v>
      </c>
    </row>
    <row r="458" spans="1:21" ht="40.799999999999997">
      <c r="A458" s="6">
        <v>43426.626793981486</v>
      </c>
      <c r="B458" s="7" t="str">
        <f>HYPERLINK("https://twitter.com/UN_2353","@UN_2353")</f>
        <v>@UN_2353</v>
      </c>
      <c r="C458" s="8" t="s">
        <v>1191</v>
      </c>
      <c r="D458" s="9" t="s">
        <v>1192</v>
      </c>
      <c r="E458" s="10" t="str">
        <f>HYPERLINK("https://twitter.com/UN_2353/status/1065742365405659136","1065742365405659136")</f>
        <v>1065742365405659136</v>
      </c>
      <c r="F458" s="14" t="s">
        <v>1193</v>
      </c>
      <c r="G458" s="11"/>
      <c r="H458" s="11"/>
      <c r="I458" s="12">
        <v>3</v>
      </c>
      <c r="J458" s="12">
        <v>1</v>
      </c>
      <c r="K458" s="13" t="str">
        <f>HYPERLINK("https://about.twitter.com/products/tweetdeck","TweetDeck")</f>
        <v>TweetDeck</v>
      </c>
      <c r="L458" s="12">
        <v>1863</v>
      </c>
      <c r="M458" s="12">
        <v>253</v>
      </c>
      <c r="N458" s="12">
        <v>27</v>
      </c>
      <c r="O458" s="15"/>
      <c r="P458" s="6">
        <v>40402.499374999999</v>
      </c>
      <c r="Q458" s="16" t="s">
        <v>1194</v>
      </c>
      <c r="R458" s="17" t="s">
        <v>1195</v>
      </c>
      <c r="S458" s="14" t="s">
        <v>1197</v>
      </c>
      <c r="T458" s="11"/>
      <c r="U458" s="10" t="str">
        <f>HYPERLINK("https://pbs.twimg.com/profile_images/1032673792592699394/3Q5gsp6L.jpg","View")</f>
        <v>View</v>
      </c>
    </row>
    <row r="459" spans="1:21" ht="51">
      <c r="A459" s="6">
        <v>43426.626388888893</v>
      </c>
      <c r="B459" s="7" t="str">
        <f>HYPERLINK("https://twitter.com/bitMomentum","@bitMomentum")</f>
        <v>@bitMomentum</v>
      </c>
      <c r="C459" s="8" t="s">
        <v>1033</v>
      </c>
      <c r="D459" s="9" t="s">
        <v>1199</v>
      </c>
      <c r="E459" s="10" t="str">
        <f>HYPERLINK("https://twitter.com/bitMomentum/status/1065742218961608710","1065742218961608710")</f>
        <v>1065742218961608710</v>
      </c>
      <c r="F459" s="11"/>
      <c r="G459" s="11"/>
      <c r="H459" s="11"/>
      <c r="I459" s="12">
        <v>0</v>
      </c>
      <c r="J459" s="12">
        <v>2</v>
      </c>
      <c r="K459" s="13" t="str">
        <f>HYPERLINK("http://www.bitmomentum.com","bitMomentum Bot")</f>
        <v>bitMomentum Bot</v>
      </c>
      <c r="L459" s="12">
        <v>10132</v>
      </c>
      <c r="M459" s="12">
        <v>1060</v>
      </c>
      <c r="N459" s="12">
        <v>267</v>
      </c>
      <c r="O459" s="15"/>
      <c r="P459" s="6">
        <v>41608.292511574073</v>
      </c>
      <c r="Q459" s="11"/>
      <c r="R459" s="17" t="s">
        <v>1038</v>
      </c>
      <c r="S459" s="14" t="s">
        <v>1039</v>
      </c>
      <c r="T459" s="11"/>
      <c r="U459" s="10" t="str">
        <f>HYPERLINK("https://pbs.twimg.com/profile_images/378800000862185241/20ij2H3u.png","View")</f>
        <v>View</v>
      </c>
    </row>
    <row r="460" spans="1:21" ht="71.400000000000006">
      <c r="A460" s="6">
        <v>43426.6253125</v>
      </c>
      <c r="B460" s="7" t="str">
        <f>HYPERLINK("https://twitter.com/carmose2000","@carmose2000")</f>
        <v>@carmose2000</v>
      </c>
      <c r="C460" s="8" t="s">
        <v>3040</v>
      </c>
      <c r="D460" s="9" t="s">
        <v>3041</v>
      </c>
      <c r="E460" s="10" t="str">
        <f>HYPERLINK("https://twitter.com/carmose2000/status/1065741830409588736","1065741830409588736")</f>
        <v>1065741830409588736</v>
      </c>
      <c r="F460" s="16" t="s">
        <v>3042</v>
      </c>
      <c r="G460" s="14" t="s">
        <v>3043</v>
      </c>
      <c r="H460" s="11"/>
      <c r="I460" s="12">
        <v>0</v>
      </c>
      <c r="J460" s="12">
        <v>0</v>
      </c>
      <c r="K460" s="13" t="str">
        <f>HYPERLINK("http://twitter.com/download/android","Twitter for Android")</f>
        <v>Twitter for Android</v>
      </c>
      <c r="L460" s="12">
        <v>283</v>
      </c>
      <c r="M460" s="12">
        <v>368</v>
      </c>
      <c r="N460" s="12">
        <v>4</v>
      </c>
      <c r="O460" s="15"/>
      <c r="P460" s="6">
        <v>41801.431076388893</v>
      </c>
      <c r="Q460" s="16" t="s">
        <v>3046</v>
      </c>
      <c r="R460" s="17" t="s">
        <v>3047</v>
      </c>
      <c r="S460" s="11"/>
      <c r="T460" s="11"/>
      <c r="U460" s="10" t="str">
        <f>HYPERLINK("https://pbs.twimg.com/profile_images/1051938872681213953/TydHHyt0.jpg","View")</f>
        <v>View</v>
      </c>
    </row>
    <row r="461" spans="1:21" ht="102">
      <c r="A461" s="6">
        <v>43426.62122685185</v>
      </c>
      <c r="B461" s="7" t="str">
        <f>HYPERLINK("https://twitter.com/JSanchezTorron","@JSanchezTorron")</f>
        <v>@JSanchezTorron</v>
      </c>
      <c r="C461" s="8" t="s">
        <v>1202</v>
      </c>
      <c r="D461" s="9" t="s">
        <v>1203</v>
      </c>
      <c r="E461" s="10" t="str">
        <f>HYPERLINK("https://twitter.com/JSanchezTorron/status/1065740348100628480","1065740348100628480")</f>
        <v>1065740348100628480</v>
      </c>
      <c r="F461" s="16" t="s">
        <v>1205</v>
      </c>
      <c r="G461" s="11"/>
      <c r="H461" s="11"/>
      <c r="I461" s="12">
        <v>0</v>
      </c>
      <c r="J461" s="12">
        <v>0</v>
      </c>
      <c r="K461" s="13" t="str">
        <f>HYPERLINK("https://mobile.twitter.com","Twitter Lite")</f>
        <v>Twitter Lite</v>
      </c>
      <c r="L461" s="12">
        <v>624</v>
      </c>
      <c r="M461" s="12">
        <v>953</v>
      </c>
      <c r="N461" s="12">
        <v>12</v>
      </c>
      <c r="O461" s="15"/>
      <c r="P461" s="6">
        <v>41570.104768518519</v>
      </c>
      <c r="Q461" s="16" t="s">
        <v>1206</v>
      </c>
      <c r="R461" s="17" t="s">
        <v>1207</v>
      </c>
      <c r="S461" s="11"/>
      <c r="T461" s="11"/>
      <c r="U461" s="10" t="str">
        <f>HYPERLINK("https://pbs.twimg.com/profile_images/961976861378129921/eENEuT8t.jpg","View")</f>
        <v>View</v>
      </c>
    </row>
    <row r="462" spans="1:21" ht="20.399999999999999">
      <c r="A462" s="6">
        <v>43426.620995370366</v>
      </c>
      <c r="B462" s="7" t="str">
        <f>HYPERLINK("https://twitter.com/llopisgoig_r","@llopisgoig_r")</f>
        <v>@llopisgoig_r</v>
      </c>
      <c r="C462" s="8" t="s">
        <v>3051</v>
      </c>
      <c r="D462" s="9" t="s">
        <v>768</v>
      </c>
      <c r="E462" s="10" t="str">
        <f>HYPERLINK("https://twitter.com/llopisgoig_r/status/1065740264516567040","1065740264516567040")</f>
        <v>1065740264516567040</v>
      </c>
      <c r="F462" s="14" t="s">
        <v>529</v>
      </c>
      <c r="G462" s="11"/>
      <c r="H462" s="11"/>
      <c r="I462" s="12">
        <v>0</v>
      </c>
      <c r="J462" s="12">
        <v>0</v>
      </c>
      <c r="K462" s="13" t="str">
        <f>HYPERLINK("http://twitter.com/download/android","Twitter for Android")</f>
        <v>Twitter for Android</v>
      </c>
      <c r="L462" s="12">
        <v>1300</v>
      </c>
      <c r="M462" s="12">
        <v>3976</v>
      </c>
      <c r="N462" s="12">
        <v>19</v>
      </c>
      <c r="O462" s="15"/>
      <c r="P462" s="6">
        <v>41323.013472222221</v>
      </c>
      <c r="Q462" s="16" t="s">
        <v>3054</v>
      </c>
      <c r="R462" s="17" t="s">
        <v>3055</v>
      </c>
      <c r="S462" s="11"/>
      <c r="T462" s="11"/>
      <c r="U462" s="10" t="str">
        <f>HYPERLINK("https://pbs.twimg.com/profile_images/3271649677/3e932ba8b5b96427ea0af63b2c08204a.jpeg","View")</f>
        <v>View</v>
      </c>
    </row>
    <row r="463" spans="1:21" ht="20.399999999999999">
      <c r="A463" s="6">
        <v>43426.62027777778</v>
      </c>
      <c r="B463" s="7" t="str">
        <f>HYPERLINK("https://twitter.com/Jesus_Margar_","@Jesus_Margar_")</f>
        <v>@Jesus_Margar_</v>
      </c>
      <c r="C463" s="8" t="s">
        <v>1282</v>
      </c>
      <c r="D463" s="9" t="s">
        <v>2895</v>
      </c>
      <c r="E463" s="10" t="str">
        <f>HYPERLINK("https://twitter.com/Jesus_Margar_/status/1065740004704624640","1065740004704624640")</f>
        <v>1065740004704624640</v>
      </c>
      <c r="F463" s="14" t="s">
        <v>529</v>
      </c>
      <c r="G463" s="11"/>
      <c r="H463" s="11"/>
      <c r="I463" s="12">
        <v>0</v>
      </c>
      <c r="J463" s="12">
        <v>0</v>
      </c>
      <c r="K463" s="13" t="str">
        <f t="shared" ref="K463:K464" si="93">HYPERLINK("http://twitter.com","Twitter Web Client")</f>
        <v>Twitter Web Client</v>
      </c>
      <c r="L463" s="12">
        <v>564</v>
      </c>
      <c r="M463" s="12">
        <v>327</v>
      </c>
      <c r="N463" s="12">
        <v>24</v>
      </c>
      <c r="O463" s="15"/>
      <c r="P463" s="6">
        <v>42023.117708333331</v>
      </c>
      <c r="Q463" s="16" t="s">
        <v>1286</v>
      </c>
      <c r="R463" s="17" t="s">
        <v>1287</v>
      </c>
      <c r="S463" s="14" t="s">
        <v>1288</v>
      </c>
      <c r="T463" s="11"/>
      <c r="U463" s="10" t="str">
        <f>HYPERLINK("https://pbs.twimg.com/profile_images/978921288570896384/1KH3wpaK.jpg","View")</f>
        <v>View</v>
      </c>
    </row>
    <row r="464" spans="1:21" ht="51">
      <c r="A464" s="6">
        <v>43426.618923611109</v>
      </c>
      <c r="B464" s="7" t="str">
        <f>HYPERLINK("https://twitter.com/ElCascabelTRECE","@ElCascabelTRECE")</f>
        <v>@ElCascabelTRECE</v>
      </c>
      <c r="C464" s="8" t="s">
        <v>305</v>
      </c>
      <c r="D464" s="9" t="s">
        <v>1210</v>
      </c>
      <c r="E464" s="10" t="str">
        <f>HYPERLINK("https://twitter.com/ElCascabelTRECE/status/1065739514784681984","1065739514784681984")</f>
        <v>1065739514784681984</v>
      </c>
      <c r="F464" s="11"/>
      <c r="G464" s="14" t="s">
        <v>1211</v>
      </c>
      <c r="H464" s="11"/>
      <c r="I464" s="12">
        <v>4</v>
      </c>
      <c r="J464" s="12">
        <v>4</v>
      </c>
      <c r="K464" s="13" t="str">
        <f t="shared" si="93"/>
        <v>Twitter Web Client</v>
      </c>
      <c r="L464" s="12">
        <v>61533</v>
      </c>
      <c r="M464" s="12">
        <v>244</v>
      </c>
      <c r="N464" s="12">
        <v>461</v>
      </c>
      <c r="O464" s="18" t="s">
        <v>52</v>
      </c>
      <c r="P464" s="6">
        <v>41306.425115740742</v>
      </c>
      <c r="Q464" s="11"/>
      <c r="R464" s="17" t="s">
        <v>310</v>
      </c>
      <c r="S464" s="14" t="s">
        <v>311</v>
      </c>
      <c r="T464" s="11"/>
      <c r="U464" s="10" t="str">
        <f>HYPERLINK("https://pbs.twimg.com/profile_images/1038023153900052480/-k-n1Efd.jpg","View")</f>
        <v>View</v>
      </c>
    </row>
    <row r="465" spans="1:21" ht="20.399999999999999">
      <c r="A465" s="6">
        <v>43426.618437500001</v>
      </c>
      <c r="B465" s="7" t="str">
        <f>HYPERLINK("https://twitter.com/lore9876","@lore9876")</f>
        <v>@lore9876</v>
      </c>
      <c r="C465" s="8" t="s">
        <v>3060</v>
      </c>
      <c r="D465" s="9" t="s">
        <v>768</v>
      </c>
      <c r="E465" s="10" t="str">
        <f>HYPERLINK("https://twitter.com/lore9876/status/1065739340658073602","1065739340658073602")</f>
        <v>1065739340658073602</v>
      </c>
      <c r="F465" s="14" t="s">
        <v>529</v>
      </c>
      <c r="G465" s="11"/>
      <c r="H465" s="11"/>
      <c r="I465" s="12">
        <v>0</v>
      </c>
      <c r="J465" s="12">
        <v>0</v>
      </c>
      <c r="K465" s="13" t="str">
        <f>HYPERLINK("http://twitter.com/download/iphone","Twitter for iPhone")</f>
        <v>Twitter for iPhone</v>
      </c>
      <c r="L465" s="12">
        <v>1368</v>
      </c>
      <c r="M465" s="12">
        <v>1381</v>
      </c>
      <c r="N465" s="12">
        <v>18</v>
      </c>
      <c r="O465" s="15"/>
      <c r="P465" s="6">
        <v>40454.337974537033</v>
      </c>
      <c r="Q465" s="16" t="s">
        <v>38</v>
      </c>
      <c r="R465" s="17" t="s">
        <v>3063</v>
      </c>
      <c r="S465" s="11"/>
      <c r="T465" s="11"/>
      <c r="U465" s="10" t="str">
        <f>HYPERLINK("https://pbs.twimg.com/profile_images/480427623672451072/JSkCrEzn.jpeg","View")</f>
        <v>View</v>
      </c>
    </row>
    <row r="466" spans="1:21" ht="20.399999999999999">
      <c r="A466" s="6">
        <v>43426.618298611109</v>
      </c>
      <c r="B466" s="7" t="str">
        <f>HYPERLINK("https://twitter.com/godokoro","@godokoro")</f>
        <v>@godokoro</v>
      </c>
      <c r="C466" s="8" t="s">
        <v>3066</v>
      </c>
      <c r="D466" s="9" t="s">
        <v>3067</v>
      </c>
      <c r="E466" s="10" t="str">
        <f>HYPERLINK("https://twitter.com/godokoro/status/1065739287335972864","1065739287335972864")</f>
        <v>1065739287335972864</v>
      </c>
      <c r="F466" s="11"/>
      <c r="G466" s="11"/>
      <c r="H466" s="11"/>
      <c r="I466" s="12">
        <v>0</v>
      </c>
      <c r="J466" s="12">
        <v>2</v>
      </c>
      <c r="K466" s="13" t="str">
        <f>HYPERLINK("http://twitter.com/download/android","Twitter for Android")</f>
        <v>Twitter for Android</v>
      </c>
      <c r="L466" s="12">
        <v>67</v>
      </c>
      <c r="M466" s="12">
        <v>119</v>
      </c>
      <c r="N466" s="12">
        <v>3</v>
      </c>
      <c r="O466" s="15"/>
      <c r="P466" s="6">
        <v>41916.559999999998</v>
      </c>
      <c r="Q466" s="11"/>
      <c r="R466" s="19"/>
      <c r="S466" s="11"/>
      <c r="T466" s="11"/>
      <c r="U466" s="10" t="str">
        <f>HYPERLINK("https://pbs.twimg.com/profile_images/689355146288041988/pjPHtg3m.jpg","View")</f>
        <v>View</v>
      </c>
    </row>
    <row r="467" spans="1:21" ht="81.599999999999994">
      <c r="A467" s="6">
        <v>43426.617141203707</v>
      </c>
      <c r="B467" s="7" t="str">
        <f>HYPERLINK("https://twitter.com/VictoriaCF","@VictoriaCF")</f>
        <v>@VictoriaCF</v>
      </c>
      <c r="C467" s="8" t="s">
        <v>1213</v>
      </c>
      <c r="D467" s="9" t="s">
        <v>1214</v>
      </c>
      <c r="E467" s="10" t="str">
        <f>HYPERLINK("https://twitter.com/VictoriaCF/status/1065738870728417280","1065738870728417280")</f>
        <v>1065738870728417280</v>
      </c>
      <c r="F467" s="14" t="s">
        <v>1215</v>
      </c>
      <c r="G467" s="14" t="s">
        <v>1118</v>
      </c>
      <c r="H467" s="11"/>
      <c r="I467" s="12">
        <v>0</v>
      </c>
      <c r="J467" s="12">
        <v>0</v>
      </c>
      <c r="K467" s="13" t="str">
        <f t="shared" ref="K467:K468" si="94">HYPERLINK("http://twitter.com/download/iphone","Twitter for iPhone")</f>
        <v>Twitter for iPhone</v>
      </c>
      <c r="L467" s="12">
        <v>3934</v>
      </c>
      <c r="M467" s="12">
        <v>3743</v>
      </c>
      <c r="N467" s="12">
        <v>38</v>
      </c>
      <c r="O467" s="15"/>
      <c r="P467" s="6">
        <v>39980.685416666667</v>
      </c>
      <c r="Q467" s="16" t="s">
        <v>87</v>
      </c>
      <c r="R467" s="17" t="s">
        <v>1216</v>
      </c>
      <c r="S467" s="11"/>
      <c r="T467" s="11"/>
      <c r="U467" s="10" t="str">
        <f>HYPERLINK("https://pbs.twimg.com/profile_images/992337988209270784/nDtnPQ3k.jpg","View")</f>
        <v>View</v>
      </c>
    </row>
    <row r="468" spans="1:21" ht="40.799999999999997">
      <c r="A468" s="6">
        <v>43426.616886574076</v>
      </c>
      <c r="B468" s="7" t="str">
        <f>HYPERLINK("https://twitter.com/miguelmari5","@miguelmari5")</f>
        <v>@miguelmari5</v>
      </c>
      <c r="C468" s="8" t="s">
        <v>1220</v>
      </c>
      <c r="D468" s="9" t="s">
        <v>1221</v>
      </c>
      <c r="E468" s="10" t="str">
        <f>HYPERLINK("https://twitter.com/miguelmari5/status/1065738775203057664","1065738775203057664")</f>
        <v>1065738775203057664</v>
      </c>
      <c r="F468" s="14" t="s">
        <v>1222</v>
      </c>
      <c r="G468" s="14" t="s">
        <v>1225</v>
      </c>
      <c r="H468" s="11"/>
      <c r="I468" s="12">
        <v>0</v>
      </c>
      <c r="J468" s="12">
        <v>0</v>
      </c>
      <c r="K468" s="13" t="str">
        <f t="shared" si="94"/>
        <v>Twitter for iPhone</v>
      </c>
      <c r="L468" s="12">
        <v>363</v>
      </c>
      <c r="M468" s="12">
        <v>651</v>
      </c>
      <c r="N468" s="12">
        <v>2</v>
      </c>
      <c r="O468" s="15"/>
      <c r="P468" s="6">
        <v>41345.24722222222</v>
      </c>
      <c r="Q468" s="11"/>
      <c r="R468" s="17" t="s">
        <v>1226</v>
      </c>
      <c r="S468" s="11"/>
      <c r="T468" s="11"/>
      <c r="U468" s="10" t="str">
        <f>HYPERLINK("https://pbs.twimg.com/profile_images/922572782814285824/4ESYpS52.jpg","View")</f>
        <v>View</v>
      </c>
    </row>
    <row r="469" spans="1:21" ht="30.6">
      <c r="A469" s="6">
        <v>43426.61509259259</v>
      </c>
      <c r="B469" s="7" t="str">
        <f>HYPERLINK("https://twitter.com/ganeshita","@ganeshita")</f>
        <v>@ganeshita</v>
      </c>
      <c r="C469" s="8" t="s">
        <v>3084</v>
      </c>
      <c r="D469" s="9" t="s">
        <v>3085</v>
      </c>
      <c r="E469" s="10" t="str">
        <f>HYPERLINK("https://twitter.com/ganeshita/status/1065738124649791488","1065738124649791488")</f>
        <v>1065738124649791488</v>
      </c>
      <c r="F469" s="14" t="s">
        <v>3087</v>
      </c>
      <c r="G469" s="11"/>
      <c r="H469" s="11"/>
      <c r="I469" s="12">
        <v>0</v>
      </c>
      <c r="J469" s="12">
        <v>0</v>
      </c>
      <c r="K469" s="13" t="str">
        <f t="shared" ref="K469:K470" si="95">HYPERLINK("http://twitter.com","Twitter Web Client")</f>
        <v>Twitter Web Client</v>
      </c>
      <c r="L469" s="12">
        <v>637</v>
      </c>
      <c r="M469" s="12">
        <v>329</v>
      </c>
      <c r="N469" s="12">
        <v>126</v>
      </c>
      <c r="O469" s="15"/>
      <c r="P469" s="6">
        <v>40506.276898148149</v>
      </c>
      <c r="Q469" s="16" t="s">
        <v>38</v>
      </c>
      <c r="R469" s="17" t="s">
        <v>3089</v>
      </c>
      <c r="S469" s="11"/>
      <c r="T469" s="11"/>
      <c r="U469" s="10" t="str">
        <f>HYPERLINK("https://pbs.twimg.com/profile_images/378800000439972335/21d3f338229eeedb5e0f837e2931ea93.jpeg","View")</f>
        <v>View</v>
      </c>
    </row>
    <row r="470" spans="1:21" ht="20.399999999999999">
      <c r="A470" s="6">
        <v>43426.614733796298</v>
      </c>
      <c r="B470" s="7" t="str">
        <f>HYPERLINK("https://twitter.com/Bizente1","@Bizente1")</f>
        <v>@Bizente1</v>
      </c>
      <c r="C470" s="8" t="s">
        <v>3091</v>
      </c>
      <c r="D470" s="9" t="s">
        <v>768</v>
      </c>
      <c r="E470" s="10" t="str">
        <f>HYPERLINK("https://twitter.com/Bizente1/status/1065737996144652289","1065737996144652289")</f>
        <v>1065737996144652289</v>
      </c>
      <c r="F470" s="14" t="s">
        <v>529</v>
      </c>
      <c r="G470" s="11"/>
      <c r="H470" s="11"/>
      <c r="I470" s="12">
        <v>0</v>
      </c>
      <c r="J470" s="12">
        <v>0</v>
      </c>
      <c r="K470" s="13" t="str">
        <f t="shared" si="95"/>
        <v>Twitter Web Client</v>
      </c>
      <c r="L470" s="12">
        <v>1339</v>
      </c>
      <c r="M470" s="12">
        <v>2418</v>
      </c>
      <c r="N470" s="12">
        <v>7</v>
      </c>
      <c r="O470" s="15"/>
      <c r="P470" s="6">
        <v>41176.3283912037</v>
      </c>
      <c r="Q470" s="16">
        <v>0</v>
      </c>
      <c r="R470" s="17" t="s">
        <v>3098</v>
      </c>
      <c r="S470" s="11"/>
      <c r="T470" s="11"/>
      <c r="U470" s="10" t="str">
        <f>HYPERLINK("https://pbs.twimg.com/profile_images/805534501396942848/3kMzLAyI.jpg","View")</f>
        <v>View</v>
      </c>
    </row>
    <row r="471" spans="1:21" ht="40.799999999999997">
      <c r="A471" s="6">
        <v>43426.614340277782</v>
      </c>
      <c r="B471" s="7" t="str">
        <f>HYPERLINK("https://twitter.com/YQue02257504","@YQue02257504")</f>
        <v>@YQue02257504</v>
      </c>
      <c r="C471" s="8" t="s">
        <v>3099</v>
      </c>
      <c r="D471" s="9" t="s">
        <v>3100</v>
      </c>
      <c r="E471" s="10" t="str">
        <f>HYPERLINK("https://twitter.com/YQue02257504/status/1065737855111180289","1065737855111180289")</f>
        <v>1065737855111180289</v>
      </c>
      <c r="F471" s="11"/>
      <c r="G471" s="11"/>
      <c r="H471" s="11"/>
      <c r="I471" s="12">
        <v>0</v>
      </c>
      <c r="J471" s="12">
        <v>3</v>
      </c>
      <c r="K471" s="13" t="str">
        <f t="shared" ref="K471:K472" si="96">HYPERLINK("http://twitter.com/download/android","Twitter for Android")</f>
        <v>Twitter for Android</v>
      </c>
      <c r="L471" s="12">
        <v>1</v>
      </c>
      <c r="M471" s="12">
        <v>0</v>
      </c>
      <c r="N471" s="12">
        <v>0</v>
      </c>
      <c r="O471" s="15"/>
      <c r="P471" s="6">
        <v>43403.390555555554</v>
      </c>
      <c r="Q471" s="11"/>
      <c r="R471" s="19"/>
      <c r="S471" s="11"/>
      <c r="T471" s="11"/>
      <c r="U471" s="18" t="s">
        <v>168</v>
      </c>
    </row>
    <row r="472" spans="1:21" ht="71.400000000000006">
      <c r="A472" s="6">
        <v>43426.612719907411</v>
      </c>
      <c r="B472" s="7" t="str">
        <f>HYPERLINK("https://twitter.com/ichingiking","@ichingiking")</f>
        <v>@ichingiking</v>
      </c>
      <c r="C472" s="8" t="s">
        <v>1227</v>
      </c>
      <c r="D472" s="9" t="s">
        <v>1228</v>
      </c>
      <c r="E472" s="10" t="str">
        <f>HYPERLINK("https://twitter.com/ichingiking/status/1065737267203969029","1065737267203969029")</f>
        <v>1065737267203969029</v>
      </c>
      <c r="F472" s="16" t="s">
        <v>1229</v>
      </c>
      <c r="G472" s="11"/>
      <c r="H472" s="11"/>
      <c r="I472" s="12">
        <v>1</v>
      </c>
      <c r="J472" s="12">
        <v>1</v>
      </c>
      <c r="K472" s="13" t="str">
        <f t="shared" si="96"/>
        <v>Twitter for Android</v>
      </c>
      <c r="L472" s="12">
        <v>1022</v>
      </c>
      <c r="M472" s="12">
        <v>81</v>
      </c>
      <c r="N472" s="12">
        <v>10</v>
      </c>
      <c r="O472" s="15"/>
      <c r="P472" s="6">
        <v>40516.584594907406</v>
      </c>
      <c r="Q472" s="11"/>
      <c r="R472" s="17" t="s">
        <v>1230</v>
      </c>
      <c r="S472" s="11"/>
      <c r="T472" s="11"/>
      <c r="U472" s="10" t="str">
        <f>HYPERLINK("https://pbs.twimg.com/profile_images/893837629522944001/t4lcVjXv.jpg","View")</f>
        <v>View</v>
      </c>
    </row>
    <row r="473" spans="1:21" ht="30.6">
      <c r="A473" s="6">
        <v>43426.612500000003</v>
      </c>
      <c r="B473" s="7" t="str">
        <f>HYPERLINK("https://twitter.com/eldiarioes","@eldiarioes")</f>
        <v>@eldiarioes</v>
      </c>
      <c r="C473" s="22" t="s">
        <v>3105</v>
      </c>
      <c r="D473" s="9" t="s">
        <v>3106</v>
      </c>
      <c r="E473" s="10" t="str">
        <f>HYPERLINK("https://twitter.com/eldiarioes/status/1065737186279067648","1065737186279067648")</f>
        <v>1065737186279067648</v>
      </c>
      <c r="F473" s="14" t="s">
        <v>3087</v>
      </c>
      <c r="G473" s="14" t="s">
        <v>326</v>
      </c>
      <c r="H473" s="11"/>
      <c r="I473" s="12">
        <v>55</v>
      </c>
      <c r="J473" s="12">
        <v>44</v>
      </c>
      <c r="K473" s="13" t="str">
        <f>HYPERLINK("https://about.twitter.com/products/tweetdeck","TweetDeck")</f>
        <v>TweetDeck</v>
      </c>
      <c r="L473" s="12">
        <v>936611</v>
      </c>
      <c r="M473" s="12">
        <v>456</v>
      </c>
      <c r="N473" s="12">
        <v>11235</v>
      </c>
      <c r="O473" s="18" t="s">
        <v>52</v>
      </c>
      <c r="P473" s="6">
        <v>40992.505856481483</v>
      </c>
      <c r="Q473" s="11"/>
      <c r="R473" s="17" t="s">
        <v>3110</v>
      </c>
      <c r="S473" s="14" t="s">
        <v>3112</v>
      </c>
      <c r="T473" s="11"/>
      <c r="U473" s="10" t="str">
        <f>HYPERLINK("https://pbs.twimg.com/profile_images/1016600645292511232/eYIkIK2s.jpg","View")</f>
        <v>View</v>
      </c>
    </row>
    <row r="474" spans="1:21" ht="91.8">
      <c r="A474" s="6">
        <v>43426.609085648146</v>
      </c>
      <c r="B474" s="7" t="str">
        <f>HYPERLINK("https://twitter.com/cronicasbrbaras","@cronicasbrbaras")</f>
        <v>@cronicasbrbaras</v>
      </c>
      <c r="C474" s="8" t="s">
        <v>3116</v>
      </c>
      <c r="D474" s="9" t="s">
        <v>3117</v>
      </c>
      <c r="E474" s="10" t="str">
        <f>HYPERLINK("https://twitter.com/cronicasbrbaras/status/1065735949752123392","1065735949752123392")</f>
        <v>1065735949752123392</v>
      </c>
      <c r="F474" s="14" t="s">
        <v>3118</v>
      </c>
      <c r="G474" s="14" t="s">
        <v>3119</v>
      </c>
      <c r="H474" s="11"/>
      <c r="I474" s="12">
        <v>0</v>
      </c>
      <c r="J474" s="12">
        <v>1</v>
      </c>
      <c r="K474" s="13" t="str">
        <f>HYPERLINK("http://twitter.com","Twitter Web Client")</f>
        <v>Twitter Web Client</v>
      </c>
      <c r="L474" s="12">
        <v>955</v>
      </c>
      <c r="M474" s="12">
        <v>417</v>
      </c>
      <c r="N474" s="12">
        <v>46</v>
      </c>
      <c r="O474" s="15"/>
      <c r="P474" s="6">
        <v>40579.016712962963</v>
      </c>
      <c r="Q474" s="16" t="s">
        <v>886</v>
      </c>
      <c r="R474" s="17" t="s">
        <v>3122</v>
      </c>
      <c r="S474" s="14" t="s">
        <v>3123</v>
      </c>
      <c r="T474" s="11"/>
      <c r="U474" s="10" t="str">
        <f>HYPERLINK("https://pbs.twimg.com/profile_images/1261731595/6a00d8341c603c53ef0120a51fb97e970b-150wi.jpg","View")</f>
        <v>View</v>
      </c>
    </row>
    <row r="475" spans="1:21" ht="61.2">
      <c r="A475" s="6">
        <v>43426.607314814813</v>
      </c>
      <c r="B475" s="7" t="str">
        <f>HYPERLINK("https://twitter.com/adriminano","@adriminano")</f>
        <v>@adriminano</v>
      </c>
      <c r="C475" s="8" t="s">
        <v>1232</v>
      </c>
      <c r="D475" s="9" t="s">
        <v>1233</v>
      </c>
      <c r="E475" s="10" t="str">
        <f>HYPERLINK("https://twitter.com/adriminano/status/1065735308078133248","1065735308078133248")</f>
        <v>1065735308078133248</v>
      </c>
      <c r="F475" s="11"/>
      <c r="G475" s="11"/>
      <c r="H475" s="11"/>
      <c r="I475" s="12">
        <v>0</v>
      </c>
      <c r="J475" s="12">
        <v>0</v>
      </c>
      <c r="K475" s="13" t="str">
        <f>HYPERLINK("http://twitter.com/download/iphone","Twitter for iPhone")</f>
        <v>Twitter for iPhone</v>
      </c>
      <c r="L475" s="12">
        <v>925</v>
      </c>
      <c r="M475" s="12">
        <v>653</v>
      </c>
      <c r="N475" s="12">
        <v>11</v>
      </c>
      <c r="O475" s="15"/>
      <c r="P475" s="6">
        <v>40698.118101851855</v>
      </c>
      <c r="Q475" s="11"/>
      <c r="R475" s="17" t="s">
        <v>1237</v>
      </c>
      <c r="S475" s="11"/>
      <c r="T475" s="11"/>
      <c r="U475" s="10" t="str">
        <f>HYPERLINK("https://pbs.twimg.com/profile_images/953139077389410304/DLeuTfbw.jpg","View")</f>
        <v>View</v>
      </c>
    </row>
    <row r="476" spans="1:21" ht="30.6">
      <c r="A476" s="6">
        <v>43426.604942129634</v>
      </c>
      <c r="B476" s="7" t="str">
        <f>HYPERLINK("https://twitter.com/LeyDeMurfi","@LeyDeMurfi")</f>
        <v>@LeyDeMurfi</v>
      </c>
      <c r="C476" s="8" t="s">
        <v>1239</v>
      </c>
      <c r="D476" s="9" t="s">
        <v>1241</v>
      </c>
      <c r="E476" s="10" t="str">
        <f>HYPERLINK("https://twitter.com/LeyDeMurfi/status/1065734447004299264","1065734447004299264")</f>
        <v>1065734447004299264</v>
      </c>
      <c r="F476" s="11"/>
      <c r="G476" s="11"/>
      <c r="H476" s="11"/>
      <c r="I476" s="12">
        <v>0</v>
      </c>
      <c r="J476" s="12">
        <v>0</v>
      </c>
      <c r="K476" s="13" t="str">
        <f>HYPERLINK("http://twitter.com/download/android","Twitter for Android")</f>
        <v>Twitter for Android</v>
      </c>
      <c r="L476" s="12">
        <v>2</v>
      </c>
      <c r="M476" s="12">
        <v>13</v>
      </c>
      <c r="N476" s="12">
        <v>0</v>
      </c>
      <c r="O476" s="15"/>
      <c r="P476" s="6">
        <v>40605.547291666662</v>
      </c>
      <c r="Q476" s="11"/>
      <c r="R476" s="19"/>
      <c r="S476" s="11"/>
      <c r="T476" s="11"/>
      <c r="U476" s="10" t="str">
        <f>HYPERLINK("https://pbs.twimg.com/profile_images/582263268204482560/GDuytOkd.jpg","View")</f>
        <v>View</v>
      </c>
    </row>
    <row r="477" spans="1:21" ht="20.399999999999999">
      <c r="A477" s="6">
        <v>43426.604166666672</v>
      </c>
      <c r="B477" s="7" t="str">
        <f>HYPERLINK("https://twitter.com/Informalia","@Informalia")</f>
        <v>@Informalia</v>
      </c>
      <c r="C477" s="8" t="s">
        <v>3131</v>
      </c>
      <c r="D477" s="9" t="s">
        <v>3132</v>
      </c>
      <c r="E477" s="10" t="str">
        <f>HYPERLINK("https://twitter.com/Informalia/status/1065734167697154048","1065734167697154048")</f>
        <v>1065734167697154048</v>
      </c>
      <c r="F477" s="14" t="s">
        <v>3134</v>
      </c>
      <c r="G477" s="14" t="s">
        <v>3135</v>
      </c>
      <c r="H477" s="11"/>
      <c r="I477" s="12">
        <v>0</v>
      </c>
      <c r="J477" s="12">
        <v>0</v>
      </c>
      <c r="K477" s="13" t="str">
        <f>HYPERLINK("https://about.twitter.com/products/tweetdeck","TweetDeck")</f>
        <v>TweetDeck</v>
      </c>
      <c r="L477" s="12">
        <v>2203</v>
      </c>
      <c r="M477" s="12">
        <v>282</v>
      </c>
      <c r="N477" s="12">
        <v>38</v>
      </c>
      <c r="O477" s="15"/>
      <c r="P477" s="6">
        <v>42145.061469907407</v>
      </c>
      <c r="Q477" s="11"/>
      <c r="R477" s="17" t="s">
        <v>3137</v>
      </c>
      <c r="S477" s="14" t="s">
        <v>3138</v>
      </c>
      <c r="T477" s="11"/>
      <c r="U477" s="10" t="str">
        <f>HYPERLINK("https://pbs.twimg.com/profile_images/1016364341761896449/Q_9VUOLv.jpg","View")</f>
        <v>View</v>
      </c>
    </row>
    <row r="478" spans="1:21" ht="30.6">
      <c r="A478" s="6">
        <v>43426.603344907402</v>
      </c>
      <c r="B478" s="7" t="str">
        <f>HYPERLINK("https://twitter.com/lavj1958","@lavj1958")</f>
        <v>@lavj1958</v>
      </c>
      <c r="C478" s="8" t="s">
        <v>3141</v>
      </c>
      <c r="D478" s="9" t="s">
        <v>1573</v>
      </c>
      <c r="E478" s="10" t="str">
        <f>HYPERLINK("https://twitter.com/lavj1958/status/1065733871021510656","1065733871021510656")</f>
        <v>1065733871021510656</v>
      </c>
      <c r="F478" s="14" t="s">
        <v>1316</v>
      </c>
      <c r="G478" s="11"/>
      <c r="H478" s="11"/>
      <c r="I478" s="12">
        <v>0</v>
      </c>
      <c r="J478" s="12">
        <v>0</v>
      </c>
      <c r="K478" s="13" t="str">
        <f t="shared" ref="K478:K481" si="97">HYPERLINK("http://twitter.com/download/android","Twitter for Android")</f>
        <v>Twitter for Android</v>
      </c>
      <c r="L478" s="12">
        <v>1749</v>
      </c>
      <c r="M478" s="12">
        <v>1943</v>
      </c>
      <c r="N478" s="12">
        <v>13</v>
      </c>
      <c r="O478" s="15"/>
      <c r="P478" s="6">
        <v>41790.431666666671</v>
      </c>
      <c r="Q478" s="16" t="s">
        <v>3145</v>
      </c>
      <c r="R478" s="17" t="s">
        <v>3146</v>
      </c>
      <c r="S478" s="11"/>
      <c r="T478" s="11"/>
      <c r="U478" s="10" t="str">
        <f>HYPERLINK("https://pbs.twimg.com/profile_images/476608580192182272/AQYFkFtM.jpeg","View")</f>
        <v>View</v>
      </c>
    </row>
    <row r="479" spans="1:21" ht="61.2">
      <c r="A479" s="6">
        <v>43426.602905092594</v>
      </c>
      <c r="B479" s="7" t="str">
        <f>HYPERLINK("https://twitter.com/DanielBanos1964","@DanielBanos1964")</f>
        <v>@DanielBanos1964</v>
      </c>
      <c r="C479" s="8" t="s">
        <v>1245</v>
      </c>
      <c r="D479" s="9" t="s">
        <v>1246</v>
      </c>
      <c r="E479" s="10" t="str">
        <f>HYPERLINK("https://twitter.com/DanielBanos1964/status/1065733711105277952","1065733711105277952")</f>
        <v>1065733711105277952</v>
      </c>
      <c r="F479" s="14" t="s">
        <v>141</v>
      </c>
      <c r="G479" s="11"/>
      <c r="H479" s="11"/>
      <c r="I479" s="12">
        <v>3</v>
      </c>
      <c r="J479" s="12">
        <v>5</v>
      </c>
      <c r="K479" s="13" t="str">
        <f t="shared" si="97"/>
        <v>Twitter for Android</v>
      </c>
      <c r="L479" s="12">
        <v>1105</v>
      </c>
      <c r="M479" s="12">
        <v>528</v>
      </c>
      <c r="N479" s="12">
        <v>15</v>
      </c>
      <c r="O479" s="15"/>
      <c r="P479" s="6">
        <v>40698.652303240742</v>
      </c>
      <c r="Q479" s="16" t="s">
        <v>1247</v>
      </c>
      <c r="R479" s="17" t="s">
        <v>1248</v>
      </c>
      <c r="S479" s="14" t="s">
        <v>1249</v>
      </c>
      <c r="T479" s="11"/>
      <c r="U479" s="10" t="str">
        <f>HYPERLINK("https://pbs.twimg.com/profile_images/1063574970067050496/VXUyh5gq.jpg","View")</f>
        <v>View</v>
      </c>
    </row>
    <row r="480" spans="1:21" ht="30.6">
      <c r="A480" s="6">
        <v>43426.602581018524</v>
      </c>
      <c r="B480" s="7" t="str">
        <f>HYPERLINK("https://twitter.com/Jesus_Berzosa","@Jesus_Berzosa")</f>
        <v>@Jesus_Berzosa</v>
      </c>
      <c r="C480" s="8" t="s">
        <v>3152</v>
      </c>
      <c r="D480" s="9" t="s">
        <v>3153</v>
      </c>
      <c r="E480" s="10" t="str">
        <f>HYPERLINK("https://twitter.com/Jesus_Berzosa/status/1065733594663084033","1065733594663084033")</f>
        <v>1065733594663084033</v>
      </c>
      <c r="F480" s="11"/>
      <c r="G480" s="11"/>
      <c r="H480" s="11"/>
      <c r="I480" s="12">
        <v>0</v>
      </c>
      <c r="J480" s="12">
        <v>0</v>
      </c>
      <c r="K480" s="13" t="str">
        <f t="shared" si="97"/>
        <v>Twitter for Android</v>
      </c>
      <c r="L480" s="12">
        <v>133</v>
      </c>
      <c r="M480" s="12">
        <v>123</v>
      </c>
      <c r="N480" s="12">
        <v>3</v>
      </c>
      <c r="O480" s="15"/>
      <c r="P480" s="6">
        <v>41341.989432870367</v>
      </c>
      <c r="Q480" s="11"/>
      <c r="R480" s="19"/>
      <c r="S480" s="11"/>
      <c r="T480" s="11"/>
      <c r="U480" s="10" t="str">
        <f>HYPERLINK("https://pbs.twimg.com/profile_images/488697581900664833/EYmIdicQ.jpeg","View")</f>
        <v>View</v>
      </c>
    </row>
    <row r="481" spans="1:21" ht="40.799999999999997">
      <c r="A481" s="6">
        <v>43426.597210648149</v>
      </c>
      <c r="B481" s="7" t="str">
        <f>HYPERLINK("https://twitter.com/lavj1958","@lavj1958")</f>
        <v>@lavj1958</v>
      </c>
      <c r="C481" s="8" t="s">
        <v>3141</v>
      </c>
      <c r="D481" s="9" t="s">
        <v>3157</v>
      </c>
      <c r="E481" s="10" t="str">
        <f>HYPERLINK("https://twitter.com/lavj1958/status/1065731646090027010","1065731646090027010")</f>
        <v>1065731646090027010</v>
      </c>
      <c r="F481" s="14" t="s">
        <v>1316</v>
      </c>
      <c r="G481" s="11"/>
      <c r="H481" s="11"/>
      <c r="I481" s="12">
        <v>1</v>
      </c>
      <c r="J481" s="12">
        <v>0</v>
      </c>
      <c r="K481" s="13" t="str">
        <f t="shared" si="97"/>
        <v>Twitter for Android</v>
      </c>
      <c r="L481" s="12">
        <v>1749</v>
      </c>
      <c r="M481" s="12">
        <v>1943</v>
      </c>
      <c r="N481" s="12">
        <v>13</v>
      </c>
      <c r="O481" s="15"/>
      <c r="P481" s="6">
        <v>41790.431666666671</v>
      </c>
      <c r="Q481" s="16" t="s">
        <v>3145</v>
      </c>
      <c r="R481" s="17" t="s">
        <v>3146</v>
      </c>
      <c r="S481" s="11"/>
      <c r="T481" s="11"/>
      <c r="U481" s="10" t="str">
        <f>HYPERLINK("https://pbs.twimg.com/profile_images/476608580192182272/AQYFkFtM.jpeg","View")</f>
        <v>View</v>
      </c>
    </row>
    <row r="482" spans="1:21" ht="40.799999999999997">
      <c r="A482" s="6">
        <v>43426.596643518518</v>
      </c>
      <c r="B482" s="7" t="str">
        <f>HYPERLINK("https://twitter.com/Obi_Uan_Kenobi","@Obi_Uan_Kenobi")</f>
        <v>@Obi_Uan_Kenobi</v>
      </c>
      <c r="C482" s="8" t="s">
        <v>1250</v>
      </c>
      <c r="D482" s="9" t="s">
        <v>1251</v>
      </c>
      <c r="E482" s="10" t="str">
        <f>HYPERLINK("https://twitter.com/Obi_Uan_Kenobi/status/1065731442087477248","1065731442087477248")</f>
        <v>1065731442087477248</v>
      </c>
      <c r="F482" s="14" t="s">
        <v>1252</v>
      </c>
      <c r="G482" s="11"/>
      <c r="H482" s="11"/>
      <c r="I482" s="12">
        <v>3</v>
      </c>
      <c r="J482" s="12">
        <v>3</v>
      </c>
      <c r="K482" s="13" t="str">
        <f>HYPERLINK("http://twitter.com","Twitter Web Client")</f>
        <v>Twitter Web Client</v>
      </c>
      <c r="L482" s="12">
        <v>6439</v>
      </c>
      <c r="M482" s="12">
        <v>250</v>
      </c>
      <c r="N482" s="12">
        <v>130</v>
      </c>
      <c r="O482" s="15"/>
      <c r="P482" s="6">
        <v>40635.403738425928</v>
      </c>
      <c r="Q482" s="16" t="s">
        <v>1255</v>
      </c>
      <c r="R482" s="17" t="s">
        <v>1256</v>
      </c>
      <c r="S482" s="11"/>
      <c r="T482" s="11"/>
      <c r="U482" s="10" t="str">
        <f>HYPERLINK("https://pbs.twimg.com/profile_images/1708357639/obiwankenobi1.jpg","View")</f>
        <v>View</v>
      </c>
    </row>
    <row r="483" spans="1:21" ht="20.399999999999999">
      <c r="A483" s="6">
        <v>43426.596192129626</v>
      </c>
      <c r="B483" s="7" t="str">
        <f>HYPERLINK("https://twitter.com/cubillas_luis","@cubillas_luis")</f>
        <v>@cubillas_luis</v>
      </c>
      <c r="C483" s="8" t="s">
        <v>720</v>
      </c>
      <c r="D483" s="9" t="s">
        <v>3170</v>
      </c>
      <c r="E483" s="10" t="str">
        <f>HYPERLINK("https://twitter.com/cubillas_luis/status/1065731277876269056","1065731277876269056")</f>
        <v>1065731277876269056</v>
      </c>
      <c r="F483" s="14" t="s">
        <v>529</v>
      </c>
      <c r="G483" s="11"/>
      <c r="H483" s="11"/>
      <c r="I483" s="12">
        <v>0</v>
      </c>
      <c r="J483" s="12">
        <v>0</v>
      </c>
      <c r="K483" s="13" t="str">
        <f>HYPERLINK("http://twitter.com/#!/download/ipad","Twitter for iPad")</f>
        <v>Twitter for iPad</v>
      </c>
      <c r="L483" s="12">
        <v>29</v>
      </c>
      <c r="M483" s="12">
        <v>65</v>
      </c>
      <c r="N483" s="12">
        <v>0</v>
      </c>
      <c r="O483" s="15"/>
      <c r="P483" s="6">
        <v>41322.381354166668</v>
      </c>
      <c r="Q483" s="11"/>
      <c r="R483" s="19"/>
      <c r="S483" s="11"/>
      <c r="T483" s="11"/>
      <c r="U483" s="10" t="str">
        <f>HYPERLINK("https://pbs.twimg.com/profile_images/739549592438591488/4uRoUpXL.jpg","View")</f>
        <v>View</v>
      </c>
    </row>
    <row r="484" spans="1:21" ht="40.799999999999997">
      <c r="A484" s="6">
        <v>43426.595324074078</v>
      </c>
      <c r="B484" s="7" t="str">
        <f>HYPERLINK("https://twitter.com/fito792","@fito792")</f>
        <v>@fito792</v>
      </c>
      <c r="C484" s="8" t="s">
        <v>3177</v>
      </c>
      <c r="D484" s="9" t="s">
        <v>3179</v>
      </c>
      <c r="E484" s="10" t="str">
        <f>HYPERLINK("https://twitter.com/fito792/status/1065730962267537411","1065730962267537411")</f>
        <v>1065730962267537411</v>
      </c>
      <c r="F484" s="14" t="s">
        <v>529</v>
      </c>
      <c r="G484" s="11"/>
      <c r="H484" s="11"/>
      <c r="I484" s="12">
        <v>0</v>
      </c>
      <c r="J484" s="12">
        <v>0</v>
      </c>
      <c r="K484" s="13" t="str">
        <f>HYPERLINK("http://twitter.com/download/android","Twitter for Android")</f>
        <v>Twitter for Android</v>
      </c>
      <c r="L484" s="12">
        <v>5</v>
      </c>
      <c r="M484" s="12">
        <v>4</v>
      </c>
      <c r="N484" s="12">
        <v>0</v>
      </c>
      <c r="O484" s="15"/>
      <c r="P484" s="6">
        <v>43203.44231481482</v>
      </c>
      <c r="Q484" s="11"/>
      <c r="R484" s="19"/>
      <c r="S484" s="11"/>
      <c r="T484" s="11"/>
      <c r="U484" s="10" t="str">
        <f>HYPERLINK("https://pbs.twimg.com/profile_images/992894667728605184/LaBjAHxg.jpg","View")</f>
        <v>View</v>
      </c>
    </row>
    <row r="485" spans="1:21" ht="20.399999999999999">
      <c r="A485" s="6">
        <v>43426.594212962962</v>
      </c>
      <c r="B485" s="7" t="str">
        <f>HYPERLINK("https://twitter.com/ferabadia","@ferabadia")</f>
        <v>@ferabadia</v>
      </c>
      <c r="C485" s="8" t="s">
        <v>1258</v>
      </c>
      <c r="D485" s="9" t="s">
        <v>1259</v>
      </c>
      <c r="E485" s="10" t="str">
        <f>HYPERLINK("https://twitter.com/ferabadia/status/1065730559412973568","1065730559412973568")</f>
        <v>1065730559412973568</v>
      </c>
      <c r="F485" s="14" t="s">
        <v>1262</v>
      </c>
      <c r="G485" s="11"/>
      <c r="H485" s="11"/>
      <c r="I485" s="12">
        <v>0</v>
      </c>
      <c r="J485" s="12">
        <v>0</v>
      </c>
      <c r="K485" s="13" t="str">
        <f>HYPERLINK("http://twitter.com/download/iphone","Twitter for iPhone")</f>
        <v>Twitter for iPhone</v>
      </c>
      <c r="L485" s="12">
        <v>434</v>
      </c>
      <c r="M485" s="12">
        <v>624</v>
      </c>
      <c r="N485" s="12">
        <v>5</v>
      </c>
      <c r="O485" s="15"/>
      <c r="P485" s="6">
        <v>40050.178391203706</v>
      </c>
      <c r="Q485" s="16" t="s">
        <v>1265</v>
      </c>
      <c r="R485" s="17" t="s">
        <v>1266</v>
      </c>
      <c r="S485" s="11"/>
      <c r="T485" s="11"/>
      <c r="U485" s="10" t="str">
        <f>HYPERLINK("https://pbs.twimg.com/profile_images/481165350701387776/zBS_4PQz.jpeg","View")</f>
        <v>View</v>
      </c>
    </row>
    <row r="486" spans="1:21" ht="102">
      <c r="A486" s="6">
        <v>43426.592812499999</v>
      </c>
      <c r="B486" s="7" t="str">
        <f>HYPERLINK("https://twitter.com/LarrauryDVigo","@LarrauryDVigo")</f>
        <v>@LarrauryDVigo</v>
      </c>
      <c r="C486" s="8" t="s">
        <v>3193</v>
      </c>
      <c r="D486" s="9" t="s">
        <v>3196</v>
      </c>
      <c r="E486" s="10" t="str">
        <f>HYPERLINK("https://twitter.com/LarrauryDVigo/status/1065730054007721984","1065730054007721984")</f>
        <v>1065730054007721984</v>
      </c>
      <c r="F486" s="14" t="s">
        <v>3197</v>
      </c>
      <c r="G486" s="14" t="s">
        <v>3198</v>
      </c>
      <c r="H486" s="11"/>
      <c r="I486" s="12">
        <v>0</v>
      </c>
      <c r="J486" s="12">
        <v>0</v>
      </c>
      <c r="K486" s="13" t="str">
        <f t="shared" ref="K486:K488" si="98">HYPERLINK("http://twitter.com/download/android","Twitter for Android")</f>
        <v>Twitter for Android</v>
      </c>
      <c r="L486" s="12">
        <v>1246</v>
      </c>
      <c r="M486" s="12">
        <v>1343</v>
      </c>
      <c r="N486" s="12">
        <v>27</v>
      </c>
      <c r="O486" s="15"/>
      <c r="P486" s="6">
        <v>40625.671435185184</v>
      </c>
      <c r="Q486" s="16" t="s">
        <v>3200</v>
      </c>
      <c r="R486" s="17" t="s">
        <v>3201</v>
      </c>
      <c r="S486" s="14" t="s">
        <v>3202</v>
      </c>
      <c r="T486" s="11"/>
      <c r="U486" s="10" t="str">
        <f>HYPERLINK("https://pbs.twimg.com/profile_images/1288793644/Copia_de_twitter_2.JPG","View")</f>
        <v>View</v>
      </c>
    </row>
    <row r="487" spans="1:21" ht="91.8">
      <c r="A487" s="6">
        <v>43426.592291666668</v>
      </c>
      <c r="B487" s="7" t="str">
        <f t="shared" ref="B487:B488" si="99">HYPERLINK("https://twitter.com/ridermarina","@ridermarina")</f>
        <v>@ridermarina</v>
      </c>
      <c r="C487" s="8" t="s">
        <v>1268</v>
      </c>
      <c r="D487" s="9" t="s">
        <v>1270</v>
      </c>
      <c r="E487" s="10" t="str">
        <f>HYPERLINK("https://twitter.com/ridermarina/status/1065729865071104001","1065729865071104001")</f>
        <v>1065729865071104001</v>
      </c>
      <c r="F487" s="14" t="s">
        <v>1272</v>
      </c>
      <c r="G487" s="11"/>
      <c r="H487" s="11"/>
      <c r="I487" s="12">
        <v>2</v>
      </c>
      <c r="J487" s="12">
        <v>0</v>
      </c>
      <c r="K487" s="13" t="str">
        <f t="shared" si="98"/>
        <v>Twitter for Android</v>
      </c>
      <c r="L487" s="12">
        <v>8577</v>
      </c>
      <c r="M487" s="12">
        <v>9105</v>
      </c>
      <c r="N487" s="12">
        <v>209</v>
      </c>
      <c r="O487" s="15"/>
      <c r="P487" s="6">
        <v>40547.207106481481</v>
      </c>
      <c r="Q487" s="16" t="s">
        <v>1273</v>
      </c>
      <c r="R487" s="17" t="s">
        <v>1274</v>
      </c>
      <c r="S487" s="11"/>
      <c r="T487" s="11"/>
      <c r="U487" s="10" t="str">
        <f t="shared" ref="U487:U488" si="100">HYPERLINK("https://pbs.twimg.com/profile_images/1062835398974545921/yocSuzjp.jpg","View")</f>
        <v>View</v>
      </c>
    </row>
    <row r="488" spans="1:21" ht="81.599999999999994">
      <c r="A488" s="6">
        <v>43426.590763888889</v>
      </c>
      <c r="B488" s="7" t="str">
        <f t="shared" si="99"/>
        <v>@ridermarina</v>
      </c>
      <c r="C488" s="8" t="s">
        <v>1268</v>
      </c>
      <c r="D488" s="9" t="s">
        <v>1275</v>
      </c>
      <c r="E488" s="10" t="str">
        <f>HYPERLINK("https://twitter.com/ridermarina/status/1065729311511113728","1065729311511113728")</f>
        <v>1065729311511113728</v>
      </c>
      <c r="F488" s="14" t="s">
        <v>1276</v>
      </c>
      <c r="G488" s="11"/>
      <c r="H488" s="11"/>
      <c r="I488" s="12">
        <v>0</v>
      </c>
      <c r="J488" s="12">
        <v>0</v>
      </c>
      <c r="K488" s="13" t="str">
        <f t="shared" si="98"/>
        <v>Twitter for Android</v>
      </c>
      <c r="L488" s="12">
        <v>8577</v>
      </c>
      <c r="M488" s="12">
        <v>9105</v>
      </c>
      <c r="N488" s="12">
        <v>209</v>
      </c>
      <c r="O488" s="15"/>
      <c r="P488" s="6">
        <v>40547.207106481481</v>
      </c>
      <c r="Q488" s="16" t="s">
        <v>1273</v>
      </c>
      <c r="R488" s="17" t="s">
        <v>1274</v>
      </c>
      <c r="S488" s="11"/>
      <c r="T488" s="11"/>
      <c r="U488" s="10" t="str">
        <f t="shared" si="100"/>
        <v>View</v>
      </c>
    </row>
    <row r="489" spans="1:21" ht="20.399999999999999">
      <c r="A489" s="6">
        <v>43426.586689814816</v>
      </c>
      <c r="B489" s="7" t="str">
        <f>HYPERLINK("https://twitter.com/EfEsteban","@EfEsteban")</f>
        <v>@EfEsteban</v>
      </c>
      <c r="C489" s="8" t="s">
        <v>3208</v>
      </c>
      <c r="D489" s="9" t="s">
        <v>768</v>
      </c>
      <c r="E489" s="10" t="str">
        <f>HYPERLINK("https://twitter.com/EfEsteban/status/1065727832721162240","1065727832721162240")</f>
        <v>1065727832721162240</v>
      </c>
      <c r="F489" s="14" t="s">
        <v>529</v>
      </c>
      <c r="G489" s="11"/>
      <c r="H489" s="11"/>
      <c r="I489" s="12">
        <v>0</v>
      </c>
      <c r="J489" s="12">
        <v>1</v>
      </c>
      <c r="K489" s="13" t="str">
        <f>HYPERLINK("http://twitter.com/#!/download/ipad","Twitter for iPad")</f>
        <v>Twitter for iPad</v>
      </c>
      <c r="L489" s="12">
        <v>16</v>
      </c>
      <c r="M489" s="12">
        <v>5</v>
      </c>
      <c r="N489" s="12">
        <v>0</v>
      </c>
      <c r="O489" s="15"/>
      <c r="P489" s="6">
        <v>41458.332708333335</v>
      </c>
      <c r="Q489" s="11"/>
      <c r="R489" s="19"/>
      <c r="S489" s="11"/>
      <c r="T489" s="11"/>
      <c r="U489" s="10" t="str">
        <f>HYPERLINK("https://pbs.twimg.com/profile_images/688108280367861762/QIaUmBmK.jpg","View")</f>
        <v>View</v>
      </c>
    </row>
    <row r="490" spans="1:21" ht="51">
      <c r="A490" s="6">
        <v>43426.586377314816</v>
      </c>
      <c r="B490" s="7" t="str">
        <f t="shared" ref="B490:B492" si="101">HYPERLINK("https://twitter.com/ridermarina","@ridermarina")</f>
        <v>@ridermarina</v>
      </c>
      <c r="C490" s="8" t="s">
        <v>1268</v>
      </c>
      <c r="D490" s="9" t="s">
        <v>1278</v>
      </c>
      <c r="E490" s="10" t="str">
        <f>HYPERLINK("https://twitter.com/ridermarina/status/1065727720292843520","1065727720292843520")</f>
        <v>1065727720292843520</v>
      </c>
      <c r="F490" s="14" t="s">
        <v>1276</v>
      </c>
      <c r="G490" s="11"/>
      <c r="H490" s="11"/>
      <c r="I490" s="12">
        <v>2</v>
      </c>
      <c r="J490" s="12">
        <v>1</v>
      </c>
      <c r="K490" s="13" t="str">
        <f t="shared" ref="K490:K493" si="102">HYPERLINK("http://twitter.com/download/android","Twitter for Android")</f>
        <v>Twitter for Android</v>
      </c>
      <c r="L490" s="12">
        <v>8577</v>
      </c>
      <c r="M490" s="12">
        <v>9105</v>
      </c>
      <c r="N490" s="12">
        <v>209</v>
      </c>
      <c r="O490" s="15"/>
      <c r="P490" s="6">
        <v>40547.207106481481</v>
      </c>
      <c r="Q490" s="16" t="s">
        <v>1273</v>
      </c>
      <c r="R490" s="17" t="s">
        <v>1274</v>
      </c>
      <c r="S490" s="11"/>
      <c r="T490" s="11"/>
      <c r="U490" s="10" t="str">
        <f t="shared" ref="U490:U492" si="103">HYPERLINK("https://pbs.twimg.com/profile_images/1062835398974545921/yocSuzjp.jpg","View")</f>
        <v>View</v>
      </c>
    </row>
    <row r="491" spans="1:21" ht="40.799999999999997">
      <c r="A491" s="6">
        <v>43426.58630787037</v>
      </c>
      <c r="B491" s="7" t="str">
        <f t="shared" si="101"/>
        <v>@ridermarina</v>
      </c>
      <c r="C491" s="8" t="s">
        <v>1268</v>
      </c>
      <c r="D491" s="9" t="s">
        <v>1279</v>
      </c>
      <c r="E491" s="10" t="str">
        <f>HYPERLINK("https://twitter.com/ridermarina/status/1065727696569810944","1065727696569810944")</f>
        <v>1065727696569810944</v>
      </c>
      <c r="F491" s="14" t="s">
        <v>1280</v>
      </c>
      <c r="G491" s="11"/>
      <c r="H491" s="11"/>
      <c r="I491" s="12">
        <v>1</v>
      </c>
      <c r="J491" s="12">
        <v>0</v>
      </c>
      <c r="K491" s="13" t="str">
        <f t="shared" si="102"/>
        <v>Twitter for Android</v>
      </c>
      <c r="L491" s="12">
        <v>8577</v>
      </c>
      <c r="M491" s="12">
        <v>9105</v>
      </c>
      <c r="N491" s="12">
        <v>209</v>
      </c>
      <c r="O491" s="15"/>
      <c r="P491" s="6">
        <v>40547.207106481481</v>
      </c>
      <c r="Q491" s="16" t="s">
        <v>1273</v>
      </c>
      <c r="R491" s="17" t="s">
        <v>1274</v>
      </c>
      <c r="S491" s="11"/>
      <c r="T491" s="11"/>
      <c r="U491" s="10" t="str">
        <f t="shared" si="103"/>
        <v>View</v>
      </c>
    </row>
    <row r="492" spans="1:21" ht="40.799999999999997">
      <c r="A492" s="6">
        <v>43426.585138888884</v>
      </c>
      <c r="B492" s="7" t="str">
        <f t="shared" si="101"/>
        <v>@ridermarina</v>
      </c>
      <c r="C492" s="8" t="s">
        <v>1268</v>
      </c>
      <c r="D492" s="9" t="s">
        <v>1281</v>
      </c>
      <c r="E492" s="10" t="str">
        <f>HYPERLINK("https://twitter.com/ridermarina/status/1065727271888199680","1065727271888199680")</f>
        <v>1065727271888199680</v>
      </c>
      <c r="F492" s="14" t="s">
        <v>1280</v>
      </c>
      <c r="G492" s="11"/>
      <c r="H492" s="11"/>
      <c r="I492" s="12">
        <v>2</v>
      </c>
      <c r="J492" s="12">
        <v>1</v>
      </c>
      <c r="K492" s="13" t="str">
        <f t="shared" si="102"/>
        <v>Twitter for Android</v>
      </c>
      <c r="L492" s="12">
        <v>8577</v>
      </c>
      <c r="M492" s="12">
        <v>9105</v>
      </c>
      <c r="N492" s="12">
        <v>209</v>
      </c>
      <c r="O492" s="15"/>
      <c r="P492" s="6">
        <v>40547.207106481481</v>
      </c>
      <c r="Q492" s="16" t="s">
        <v>1273</v>
      </c>
      <c r="R492" s="17" t="s">
        <v>1274</v>
      </c>
      <c r="S492" s="11"/>
      <c r="T492" s="11"/>
      <c r="U492" s="10" t="str">
        <f t="shared" si="103"/>
        <v>View</v>
      </c>
    </row>
    <row r="493" spans="1:21" ht="13.2">
      <c r="A493" s="6">
        <v>43426.581574074073</v>
      </c>
      <c r="B493" s="7" t="str">
        <f>HYPERLINK("https://twitter.com/Rivasbarrs","@Rivasbarrs")</f>
        <v>@Rivasbarrs</v>
      </c>
      <c r="C493" s="8" t="s">
        <v>3229</v>
      </c>
      <c r="D493" s="9" t="s">
        <v>3230</v>
      </c>
      <c r="E493" s="10" t="str">
        <f>HYPERLINK("https://twitter.com/Rivasbarrs/status/1065725981544116224","1065725981544116224")</f>
        <v>1065725981544116224</v>
      </c>
      <c r="F493" s="14" t="s">
        <v>96</v>
      </c>
      <c r="G493" s="11"/>
      <c r="H493" s="11"/>
      <c r="I493" s="12">
        <v>9</v>
      </c>
      <c r="J493" s="12">
        <v>13</v>
      </c>
      <c r="K493" s="13" t="str">
        <f t="shared" si="102"/>
        <v>Twitter for Android</v>
      </c>
      <c r="L493" s="12">
        <v>22756</v>
      </c>
      <c r="M493" s="12">
        <v>1927</v>
      </c>
      <c r="N493" s="12">
        <v>298</v>
      </c>
      <c r="O493" s="15"/>
      <c r="P493" s="6">
        <v>41603.640034722222</v>
      </c>
      <c r="Q493" s="16" t="s">
        <v>3233</v>
      </c>
      <c r="R493" s="17" t="s">
        <v>3234</v>
      </c>
      <c r="S493" s="11"/>
      <c r="T493" s="11"/>
      <c r="U493" s="10" t="str">
        <f>HYPERLINK("https://pbs.twimg.com/profile_images/378800000790914923/852bb18f02c01e5a842663da32454630.jpeg","View")</f>
        <v>View</v>
      </c>
    </row>
    <row r="494" spans="1:21" ht="20.399999999999999">
      <c r="A494" s="6">
        <v>43426.579212962963</v>
      </c>
      <c r="B494" s="7" t="str">
        <f>HYPERLINK("https://twitter.com/Jesus_Margar_","@Jesus_Margar_")</f>
        <v>@Jesus_Margar_</v>
      </c>
      <c r="C494" s="8" t="s">
        <v>1282</v>
      </c>
      <c r="D494" s="9" t="s">
        <v>1283</v>
      </c>
      <c r="E494" s="10" t="str">
        <f>HYPERLINK("https://twitter.com/Jesus_Margar_/status/1065725122588303360","1065725122588303360")</f>
        <v>1065725122588303360</v>
      </c>
      <c r="F494" s="11"/>
      <c r="G494" s="14" t="s">
        <v>1285</v>
      </c>
      <c r="H494" s="11"/>
      <c r="I494" s="12">
        <v>0</v>
      </c>
      <c r="J494" s="12">
        <v>3</v>
      </c>
      <c r="K494" s="13" t="str">
        <f>HYPERLINK("http://twitter.com","Twitter Web Client")</f>
        <v>Twitter Web Client</v>
      </c>
      <c r="L494" s="12">
        <v>564</v>
      </c>
      <c r="M494" s="12">
        <v>327</v>
      </c>
      <c r="N494" s="12">
        <v>24</v>
      </c>
      <c r="O494" s="15"/>
      <c r="P494" s="6">
        <v>42023.117708333331</v>
      </c>
      <c r="Q494" s="16" t="s">
        <v>1286</v>
      </c>
      <c r="R494" s="17" t="s">
        <v>1287</v>
      </c>
      <c r="S494" s="14" t="s">
        <v>1288</v>
      </c>
      <c r="T494" s="11"/>
      <c r="U494" s="10" t="str">
        <f>HYPERLINK("https://pbs.twimg.com/profile_images/978921288570896384/1KH3wpaK.jpg","View")</f>
        <v>View</v>
      </c>
    </row>
    <row r="495" spans="1:21" ht="30.6">
      <c r="A495" s="6">
        <v>43426.578657407408</v>
      </c>
      <c r="B495" s="7" t="str">
        <f>HYPERLINK("https://twitter.com/MagoAmago","@MagoAmago")</f>
        <v>@MagoAmago</v>
      </c>
      <c r="C495" s="8" t="s">
        <v>3240</v>
      </c>
      <c r="D495" s="9" t="s">
        <v>3241</v>
      </c>
      <c r="E495" s="10" t="str">
        <f>HYPERLINK("https://twitter.com/MagoAmago/status/1065724921114972160","1065724921114972160")</f>
        <v>1065724921114972160</v>
      </c>
      <c r="F495" s="11"/>
      <c r="G495" s="11"/>
      <c r="H495" s="11"/>
      <c r="I495" s="12">
        <v>0</v>
      </c>
      <c r="J495" s="12">
        <v>8</v>
      </c>
      <c r="K495" s="13" t="str">
        <f t="shared" ref="K495:K496" si="104">HYPERLINK("http://twitter.com/download/iphone","Twitter for iPhone")</f>
        <v>Twitter for iPhone</v>
      </c>
      <c r="L495" s="12">
        <v>49</v>
      </c>
      <c r="M495" s="12">
        <v>161</v>
      </c>
      <c r="N495" s="12">
        <v>0</v>
      </c>
      <c r="O495" s="15"/>
      <c r="P495" s="6">
        <v>42661.554895833338</v>
      </c>
      <c r="Q495" s="11"/>
      <c r="R495" s="17" t="s">
        <v>3245</v>
      </c>
      <c r="S495" s="11"/>
      <c r="T495" s="11"/>
      <c r="U495" s="10" t="str">
        <f>HYPERLINK("https://pbs.twimg.com/profile_images/790170752012132356/dEqhB3Qf.jpg","View")</f>
        <v>View</v>
      </c>
    </row>
    <row r="496" spans="1:21" ht="40.799999999999997">
      <c r="A496" s="6">
        <v>43426.577928240746</v>
      </c>
      <c r="B496" s="7" t="str">
        <f>HYPERLINK("https://twitter.com/manutv","@manutv")</f>
        <v>@manutv</v>
      </c>
      <c r="C496" s="8" t="s">
        <v>3248</v>
      </c>
      <c r="D496" s="9" t="s">
        <v>3250</v>
      </c>
      <c r="E496" s="10" t="str">
        <f>HYPERLINK("https://twitter.com/manutv/status/1065724660581654528","1065724660581654528")</f>
        <v>1065724660581654528</v>
      </c>
      <c r="F496" s="16" t="s">
        <v>3251</v>
      </c>
      <c r="G496" s="11"/>
      <c r="H496" s="11"/>
      <c r="I496" s="12">
        <v>1</v>
      </c>
      <c r="J496" s="12">
        <v>1</v>
      </c>
      <c r="K496" s="13" t="str">
        <f t="shared" si="104"/>
        <v>Twitter for iPhone</v>
      </c>
      <c r="L496" s="12">
        <v>881</v>
      </c>
      <c r="M496" s="12">
        <v>235</v>
      </c>
      <c r="N496" s="12">
        <v>37</v>
      </c>
      <c r="O496" s="15"/>
      <c r="P496" s="6">
        <v>39690.607546296298</v>
      </c>
      <c r="Q496" s="16" t="s">
        <v>1654</v>
      </c>
      <c r="R496" s="17" t="s">
        <v>3254</v>
      </c>
      <c r="S496" s="14" t="s">
        <v>3255</v>
      </c>
      <c r="T496" s="11"/>
      <c r="U496" s="10" t="str">
        <f>HYPERLINK("https://pbs.twimg.com/profile_images/1064446178056683521/PmDwVZca.jpg","View")</f>
        <v>View</v>
      </c>
    </row>
    <row r="497" spans="1:21" ht="13.2">
      <c r="A497" s="6">
        <v>43426.577800925923</v>
      </c>
      <c r="B497" s="7" t="str">
        <f>HYPERLINK("https://twitter.com/ALJ1998GJ","@ALJ1998GJ")</f>
        <v>@ALJ1998GJ</v>
      </c>
      <c r="C497" s="8" t="s">
        <v>3259</v>
      </c>
      <c r="D497" s="9" t="s">
        <v>3260</v>
      </c>
      <c r="E497" s="10" t="str">
        <f>HYPERLINK("https://twitter.com/ALJ1998GJ/status/1065724612481347586","1065724612481347586")</f>
        <v>1065724612481347586</v>
      </c>
      <c r="F497" s="14" t="s">
        <v>3261</v>
      </c>
      <c r="G497" s="11"/>
      <c r="H497" s="11"/>
      <c r="I497" s="12">
        <v>0</v>
      </c>
      <c r="J497" s="12">
        <v>0</v>
      </c>
      <c r="K497" s="13" t="str">
        <f>HYPERLINK("http://twitter.com","Twitter Web Client")</f>
        <v>Twitter Web Client</v>
      </c>
      <c r="L497" s="12">
        <v>181</v>
      </c>
      <c r="M497" s="12">
        <v>700</v>
      </c>
      <c r="N497" s="12">
        <v>0</v>
      </c>
      <c r="O497" s="15"/>
      <c r="P497" s="6">
        <v>41287.406354166669</v>
      </c>
      <c r="Q497" s="16" t="s">
        <v>3262</v>
      </c>
      <c r="R497" s="17" t="s">
        <v>3263</v>
      </c>
      <c r="S497" s="11"/>
      <c r="T497" s="11"/>
      <c r="U497" s="10" t="str">
        <f>HYPERLINK("https://pbs.twimg.com/profile_images/956930402589036544/6vMx24KL.jpg","View")</f>
        <v>View</v>
      </c>
    </row>
    <row r="498" spans="1:21" ht="71.400000000000006">
      <c r="A498" s="6">
        <v>43426.577326388884</v>
      </c>
      <c r="B498" s="7" t="str">
        <f>HYPERLINK("https://twitter.com/aninatroll","@aninatroll")</f>
        <v>@aninatroll</v>
      </c>
      <c r="C498" s="8" t="s">
        <v>1289</v>
      </c>
      <c r="D498" s="9" t="s">
        <v>1290</v>
      </c>
      <c r="E498" s="10" t="str">
        <f>HYPERLINK("https://twitter.com/aninatroll/status/1065724441798295552","1065724441798295552")</f>
        <v>1065724441798295552</v>
      </c>
      <c r="F498" s="16" t="s">
        <v>1291</v>
      </c>
      <c r="G498" s="11"/>
      <c r="H498" s="11"/>
      <c r="I498" s="12">
        <v>0</v>
      </c>
      <c r="J498" s="12">
        <v>0</v>
      </c>
      <c r="K498" s="13" t="str">
        <f t="shared" ref="K498:K499" si="105">HYPERLINK("http://twitter.com/download/iphone","Twitter for iPhone")</f>
        <v>Twitter for iPhone</v>
      </c>
      <c r="L498" s="12">
        <v>498</v>
      </c>
      <c r="M498" s="12">
        <v>280</v>
      </c>
      <c r="N498" s="12">
        <v>57</v>
      </c>
      <c r="O498" s="15"/>
      <c r="P498" s="6">
        <v>40661.649606481486</v>
      </c>
      <c r="Q498" s="16" t="s">
        <v>1292</v>
      </c>
      <c r="R498" s="17" t="s">
        <v>1293</v>
      </c>
      <c r="S498" s="11"/>
      <c r="T498" s="11"/>
      <c r="U498" s="10" t="str">
        <f>HYPERLINK("https://pbs.twimg.com/profile_images/1054073238597394433/sGBZMwHI.jpg","View")</f>
        <v>View</v>
      </c>
    </row>
    <row r="499" spans="1:21" ht="30.6">
      <c r="A499" s="6">
        <v>43426.575995370367</v>
      </c>
      <c r="B499" s="7" t="str">
        <f>HYPERLINK("https://twitter.com/pepeonet","@pepeonet")</f>
        <v>@pepeonet</v>
      </c>
      <c r="C499" s="8" t="s">
        <v>3272</v>
      </c>
      <c r="D499" s="9" t="s">
        <v>3273</v>
      </c>
      <c r="E499" s="10" t="str">
        <f>HYPERLINK("https://twitter.com/pepeonet/status/1065723956458659845","1065723956458659845")</f>
        <v>1065723956458659845</v>
      </c>
      <c r="F499" s="11"/>
      <c r="G499" s="11"/>
      <c r="H499" s="11"/>
      <c r="I499" s="12">
        <v>1</v>
      </c>
      <c r="J499" s="12">
        <v>5</v>
      </c>
      <c r="K499" s="13" t="str">
        <f t="shared" si="105"/>
        <v>Twitter for iPhone</v>
      </c>
      <c r="L499" s="12">
        <v>68671</v>
      </c>
      <c r="M499" s="12">
        <v>979</v>
      </c>
      <c r="N499" s="12">
        <v>1122</v>
      </c>
      <c r="O499" s="18" t="s">
        <v>52</v>
      </c>
      <c r="P499" s="6">
        <v>40728.473923611113</v>
      </c>
      <c r="Q499" s="11"/>
      <c r="R499" s="17" t="s">
        <v>3276</v>
      </c>
      <c r="S499" s="16" t="s">
        <v>3277</v>
      </c>
      <c r="T499" s="11"/>
      <c r="U499" s="10" t="str">
        <f>HYPERLINK("https://pbs.twimg.com/profile_images/378800000132278563/72d0f29e8755ee1d40bcb02e72473627.jpeg","View")</f>
        <v>View</v>
      </c>
    </row>
    <row r="500" spans="1:21" ht="71.400000000000006">
      <c r="A500" s="6">
        <v>43426.574363425927</v>
      </c>
      <c r="B500" s="7" t="str">
        <f>HYPERLINK("https://twitter.com/elgrillohispano","@elgrillohispano")</f>
        <v>@elgrillohispano</v>
      </c>
      <c r="C500" s="8" t="s">
        <v>1294</v>
      </c>
      <c r="D500" s="9" t="s">
        <v>1295</v>
      </c>
      <c r="E500" s="10" t="str">
        <f>HYPERLINK("https://twitter.com/elgrillohispano/status/1065723364877180930","1065723364877180930")</f>
        <v>1065723364877180930</v>
      </c>
      <c r="F500" s="14" t="s">
        <v>1296</v>
      </c>
      <c r="G500" s="14" t="s">
        <v>965</v>
      </c>
      <c r="H500" s="11"/>
      <c r="I500" s="12">
        <v>1</v>
      </c>
      <c r="J500" s="12">
        <v>1</v>
      </c>
      <c r="K500" s="13" t="str">
        <f>HYPERLINK("http://twitter.com","Twitter Web Client")</f>
        <v>Twitter Web Client</v>
      </c>
      <c r="L500" s="12">
        <v>753</v>
      </c>
      <c r="M500" s="12">
        <v>1122</v>
      </c>
      <c r="N500" s="12">
        <v>20</v>
      </c>
      <c r="O500" s="15"/>
      <c r="P500" s="6">
        <v>40836.719050925924</v>
      </c>
      <c r="Q500" s="16" t="s">
        <v>1297</v>
      </c>
      <c r="R500" s="17" t="s">
        <v>1298</v>
      </c>
      <c r="S500" s="11"/>
      <c r="T500" s="11"/>
      <c r="U500" s="10" t="str">
        <f>HYPERLINK("https://pbs.twimg.com/profile_images/476705551909265408/6lNjULWd.jpeg","View")</f>
        <v>View</v>
      </c>
    </row>
    <row r="501" spans="1:21" ht="20.399999999999999">
      <c r="A501" s="6">
        <v>43426.572893518518</v>
      </c>
      <c r="B501" s="7" t="str">
        <f>HYPERLINK("https://twitter.com/pachienriquez1","@pachienriquez1")</f>
        <v>@pachienriquez1</v>
      </c>
      <c r="C501" s="8" t="s">
        <v>3284</v>
      </c>
      <c r="D501" s="9" t="s">
        <v>2620</v>
      </c>
      <c r="E501" s="10" t="str">
        <f>HYPERLINK("https://twitter.com/pachienriquez1/status/1065722833333039106","1065722833333039106")</f>
        <v>1065722833333039106</v>
      </c>
      <c r="F501" s="14" t="s">
        <v>2621</v>
      </c>
      <c r="G501" s="11"/>
      <c r="H501" s="11"/>
      <c r="I501" s="12">
        <v>0</v>
      </c>
      <c r="J501" s="12">
        <v>1</v>
      </c>
      <c r="K501" s="13" t="str">
        <f>HYPERLINK("http://twitter.com/download/android","Twitter for Android")</f>
        <v>Twitter for Android</v>
      </c>
      <c r="L501" s="12">
        <v>44</v>
      </c>
      <c r="M501" s="12">
        <v>46</v>
      </c>
      <c r="N501" s="12">
        <v>0</v>
      </c>
      <c r="O501" s="15"/>
      <c r="P501" s="6">
        <v>43132.38453703704</v>
      </c>
      <c r="Q501" s="16" t="s">
        <v>3288</v>
      </c>
      <c r="R501" s="17" t="s">
        <v>3289</v>
      </c>
      <c r="S501" s="11"/>
      <c r="T501" s="11"/>
      <c r="U501" s="10" t="str">
        <f>HYPERLINK("https://pbs.twimg.com/profile_images/1003931767244455936/hX3JgaMD.jpg","View")</f>
        <v>View</v>
      </c>
    </row>
    <row r="502" spans="1:21" ht="40.799999999999997">
      <c r="A502" s="6">
        <v>43426.571747685186</v>
      </c>
      <c r="B502" s="7" t="str">
        <f t="shared" ref="B502:B503" si="106">HYPERLINK("https://twitter.com/jlxerrano","@jlxerrano")</f>
        <v>@jlxerrano</v>
      </c>
      <c r="C502" s="8" t="s">
        <v>3290</v>
      </c>
      <c r="D502" s="9" t="s">
        <v>1302</v>
      </c>
      <c r="E502" s="10" t="str">
        <f>HYPERLINK("https://twitter.com/jlxerrano/status/1065722419606929409","1065722419606929409")</f>
        <v>1065722419606929409</v>
      </c>
      <c r="F502" s="14" t="s">
        <v>3293</v>
      </c>
      <c r="G502" s="11"/>
      <c r="H502" s="11"/>
      <c r="I502" s="12">
        <v>0</v>
      </c>
      <c r="J502" s="12">
        <v>0</v>
      </c>
      <c r="K502" s="13" t="str">
        <f t="shared" ref="K502:K503" si="107">HYPERLINK("http://twitter.com","Twitter Web Client")</f>
        <v>Twitter Web Client</v>
      </c>
      <c r="L502" s="12">
        <v>219</v>
      </c>
      <c r="M502" s="12">
        <v>330</v>
      </c>
      <c r="N502" s="12">
        <v>1</v>
      </c>
      <c r="O502" s="15"/>
      <c r="P502" s="6">
        <v>42840.393831018519</v>
      </c>
      <c r="Q502" s="16" t="s">
        <v>3295</v>
      </c>
      <c r="R502" s="17" t="s">
        <v>3296</v>
      </c>
      <c r="S502" s="11"/>
      <c r="T502" s="11"/>
      <c r="U502" s="10" t="str">
        <f t="shared" ref="U502:U503" si="108">HYPERLINK("https://pbs.twimg.com/profile_images/1035527255215099905/2USJVAFA.jpg","View")</f>
        <v>View</v>
      </c>
    </row>
    <row r="503" spans="1:21" ht="40.799999999999997">
      <c r="A503" s="6">
        <v>43426.571539351848</v>
      </c>
      <c r="B503" s="7" t="str">
        <f t="shared" si="106"/>
        <v>@jlxerrano</v>
      </c>
      <c r="C503" s="8" t="s">
        <v>3290</v>
      </c>
      <c r="D503" s="9" t="s">
        <v>3300</v>
      </c>
      <c r="E503" s="10" t="str">
        <f>HYPERLINK("https://twitter.com/jlxerrano/status/1065722344956719104","1065722344956719104")</f>
        <v>1065722344956719104</v>
      </c>
      <c r="F503" s="14" t="s">
        <v>3301</v>
      </c>
      <c r="G503" s="11"/>
      <c r="H503" s="11"/>
      <c r="I503" s="12">
        <v>0</v>
      </c>
      <c r="J503" s="12">
        <v>0</v>
      </c>
      <c r="K503" s="13" t="str">
        <f t="shared" si="107"/>
        <v>Twitter Web Client</v>
      </c>
      <c r="L503" s="12">
        <v>219</v>
      </c>
      <c r="M503" s="12">
        <v>330</v>
      </c>
      <c r="N503" s="12">
        <v>1</v>
      </c>
      <c r="O503" s="15"/>
      <c r="P503" s="6">
        <v>42840.393831018519</v>
      </c>
      <c r="Q503" s="16" t="s">
        <v>3295</v>
      </c>
      <c r="R503" s="17" t="s">
        <v>3296</v>
      </c>
      <c r="S503" s="11"/>
      <c r="T503" s="11"/>
      <c r="U503" s="10" t="str">
        <f t="shared" si="108"/>
        <v>View</v>
      </c>
    </row>
    <row r="504" spans="1:21" ht="30.6">
      <c r="A504" s="6">
        <v>43426.571377314816</v>
      </c>
      <c r="B504" s="7" t="str">
        <f>HYPERLINK("https://twitter.com/PimpPaquele","@PimpPaquele")</f>
        <v>@PimpPaquele</v>
      </c>
      <c r="C504" s="8" t="s">
        <v>3303</v>
      </c>
      <c r="D504" s="9" t="s">
        <v>3304</v>
      </c>
      <c r="E504" s="10" t="str">
        <f>HYPERLINK("https://twitter.com/PimpPaquele/status/1065722284164423680","1065722284164423680")</f>
        <v>1065722284164423680</v>
      </c>
      <c r="F504" s="11"/>
      <c r="G504" s="11"/>
      <c r="H504" s="11"/>
      <c r="I504" s="12">
        <v>0</v>
      </c>
      <c r="J504" s="12">
        <v>6</v>
      </c>
      <c r="K504" s="13" t="str">
        <f t="shared" ref="K504:K506" si="109">HYPERLINK("http://twitter.com/download/android","Twitter for Android")</f>
        <v>Twitter for Android</v>
      </c>
      <c r="L504" s="12">
        <v>11303</v>
      </c>
      <c r="M504" s="12">
        <v>607</v>
      </c>
      <c r="N504" s="12">
        <v>57</v>
      </c>
      <c r="O504" s="15"/>
      <c r="P504" s="6">
        <v>40805.121238425927</v>
      </c>
      <c r="Q504" s="16" t="s">
        <v>3305</v>
      </c>
      <c r="R504" s="17" t="s">
        <v>3306</v>
      </c>
      <c r="S504" s="14" t="s">
        <v>3307</v>
      </c>
      <c r="T504" s="11"/>
      <c r="U504" s="10" t="str">
        <f>HYPERLINK("https://pbs.twimg.com/profile_images/1044001097298456577/CJnh3ccy.jpg","View")</f>
        <v>View</v>
      </c>
    </row>
    <row r="505" spans="1:21" ht="20.399999999999999">
      <c r="A505" s="6">
        <v>43426.571331018524</v>
      </c>
      <c r="B505" s="7" t="str">
        <f>HYPERLINK("https://twitter.com/amc2412","@amc2412")</f>
        <v>@amc2412</v>
      </c>
      <c r="C505" s="8" t="s">
        <v>3311</v>
      </c>
      <c r="D505" s="9" t="s">
        <v>3312</v>
      </c>
      <c r="E505" s="10" t="str">
        <f>HYPERLINK("https://twitter.com/amc2412/status/1065722269618634752","1065722269618634752")</f>
        <v>1065722269618634752</v>
      </c>
      <c r="F505" s="11"/>
      <c r="G505" s="11"/>
      <c r="H505" s="11"/>
      <c r="I505" s="12">
        <v>1</v>
      </c>
      <c r="J505" s="12">
        <v>4</v>
      </c>
      <c r="K505" s="13" t="str">
        <f t="shared" si="109"/>
        <v>Twitter for Android</v>
      </c>
      <c r="L505" s="12">
        <v>742</v>
      </c>
      <c r="M505" s="12">
        <v>627</v>
      </c>
      <c r="N505" s="12">
        <v>40</v>
      </c>
      <c r="O505" s="15"/>
      <c r="P505" s="6">
        <v>40157.533287037033</v>
      </c>
      <c r="Q505" s="16" t="s">
        <v>28</v>
      </c>
      <c r="R505" s="17" t="s">
        <v>3314</v>
      </c>
      <c r="S505" s="11"/>
      <c r="T505" s="11"/>
      <c r="U505" s="10" t="str">
        <f>HYPERLINK("https://pbs.twimg.com/profile_images/1041358799024676867/nlLGkMbZ.jpg","View")</f>
        <v>View</v>
      </c>
    </row>
    <row r="506" spans="1:21" ht="30.6">
      <c r="A506" s="6">
        <v>43426.569571759261</v>
      </c>
      <c r="B506" s="7" t="str">
        <f>HYPERLINK("https://twitter.com/antifashrek","@antifashrek")</f>
        <v>@antifashrek</v>
      </c>
      <c r="C506" s="8" t="s">
        <v>3316</v>
      </c>
      <c r="D506" s="9" t="s">
        <v>3304</v>
      </c>
      <c r="E506" s="10" t="str">
        <f>HYPERLINK("https://twitter.com/antifashrek/status/1065721630326960129","1065721630326960129")</f>
        <v>1065721630326960129</v>
      </c>
      <c r="F506" s="11"/>
      <c r="G506" s="11"/>
      <c r="H506" s="11"/>
      <c r="I506" s="12">
        <v>0</v>
      </c>
      <c r="J506" s="12">
        <v>11</v>
      </c>
      <c r="K506" s="13" t="str">
        <f t="shared" si="109"/>
        <v>Twitter for Android</v>
      </c>
      <c r="L506" s="12">
        <v>842</v>
      </c>
      <c r="M506" s="12">
        <v>365</v>
      </c>
      <c r="N506" s="12">
        <v>11</v>
      </c>
      <c r="O506" s="15"/>
      <c r="P506" s="6">
        <v>40902.108113425929</v>
      </c>
      <c r="Q506" s="16" t="s">
        <v>3317</v>
      </c>
      <c r="R506" s="17" t="s">
        <v>3318</v>
      </c>
      <c r="S506" s="14" t="s">
        <v>3319</v>
      </c>
      <c r="T506" s="11"/>
      <c r="U506" s="10" t="str">
        <f>HYPERLINK("https://pbs.twimg.com/profile_images/1056613656501338113/cD-c0fhn.jpg","View")</f>
        <v>View</v>
      </c>
    </row>
    <row r="507" spans="1:21" ht="40.799999999999997">
      <c r="A507" s="6">
        <v>43426.569155092591</v>
      </c>
      <c r="B507" s="7" t="str">
        <f>HYPERLINK("https://twitter.com/jaojournalist","@jaojournalist")</f>
        <v>@jaojournalist</v>
      </c>
      <c r="C507" s="8" t="s">
        <v>1299</v>
      </c>
      <c r="D507" s="9" t="s">
        <v>1300</v>
      </c>
      <c r="E507" s="10" t="str">
        <f>HYPERLINK("https://twitter.com/jaojournalist/status/1065721477507530752","1065721477507530752")</f>
        <v>1065721477507530752</v>
      </c>
      <c r="F507" s="14" t="s">
        <v>96</v>
      </c>
      <c r="G507" s="11"/>
      <c r="H507" s="11"/>
      <c r="I507" s="12">
        <v>0</v>
      </c>
      <c r="J507" s="12">
        <v>0</v>
      </c>
      <c r="K507" s="13" t="str">
        <f>HYPERLINK("http://twitter.com","Twitter Web Client")</f>
        <v>Twitter Web Client</v>
      </c>
      <c r="L507" s="12">
        <v>249</v>
      </c>
      <c r="M507" s="12">
        <v>800</v>
      </c>
      <c r="N507" s="12">
        <v>2</v>
      </c>
      <c r="O507" s="15"/>
      <c r="P507" s="6">
        <v>40957.279374999998</v>
      </c>
      <c r="Q507" s="16" t="s">
        <v>38</v>
      </c>
      <c r="R507" s="17" t="s">
        <v>1301</v>
      </c>
      <c r="S507" s="11"/>
      <c r="T507" s="11"/>
      <c r="U507" s="10" t="str">
        <f>HYPERLINK("https://pbs.twimg.com/profile_images/980830683416363013/LzI5LdRy.jpg","View")</f>
        <v>View</v>
      </c>
    </row>
    <row r="508" spans="1:21" ht="30.6">
      <c r="A508" s="6">
        <v>43426.569085648152</v>
      </c>
      <c r="B508" s="7" t="str">
        <f>HYPERLINK("https://twitter.com/Elpa_jarraco","@Elpa_jarraco")</f>
        <v>@Elpa_jarraco</v>
      </c>
      <c r="C508" s="8" t="s">
        <v>1304</v>
      </c>
      <c r="D508" s="9" t="s">
        <v>1305</v>
      </c>
      <c r="E508" s="10" t="str">
        <f>HYPERLINK("https://twitter.com/Elpa_jarraco/status/1065721455973945345","1065721455973945345")</f>
        <v>1065721455973945345</v>
      </c>
      <c r="F508" s="14" t="s">
        <v>96</v>
      </c>
      <c r="G508" s="11"/>
      <c r="H508" s="11"/>
      <c r="I508" s="12">
        <v>0</v>
      </c>
      <c r="J508" s="12">
        <v>0</v>
      </c>
      <c r="K508" s="13" t="str">
        <f t="shared" ref="K508:K511" si="110">HYPERLINK("http://twitter.com/download/android","Twitter for Android")</f>
        <v>Twitter for Android</v>
      </c>
      <c r="L508" s="12">
        <v>57</v>
      </c>
      <c r="M508" s="12">
        <v>189</v>
      </c>
      <c r="N508" s="12">
        <v>0</v>
      </c>
      <c r="O508" s="15"/>
      <c r="P508" s="6">
        <v>42013.654918981483</v>
      </c>
      <c r="Q508" s="11"/>
      <c r="R508" s="17" t="s">
        <v>1306</v>
      </c>
      <c r="S508" s="11"/>
      <c r="T508" s="11"/>
      <c r="U508" s="10" t="str">
        <f>HYPERLINK("https://pbs.twimg.com/profile_images/904345518037446656/0ctskaix.jpg","View")</f>
        <v>View</v>
      </c>
    </row>
    <row r="509" spans="1:21" ht="30.6">
      <c r="A509" s="6">
        <v>43426.56763888889</v>
      </c>
      <c r="B509" s="7" t="str">
        <f>HYPERLINK("https://twitter.com/ximoilicitano14","@ximoilicitano14")</f>
        <v>@ximoilicitano14</v>
      </c>
      <c r="C509" s="8" t="s">
        <v>3326</v>
      </c>
      <c r="D509" s="9" t="s">
        <v>3327</v>
      </c>
      <c r="E509" s="10" t="str">
        <f>HYPERLINK("https://twitter.com/ximoilicitano14/status/1065720929043587072","1065720929043587072")</f>
        <v>1065720929043587072</v>
      </c>
      <c r="F509" s="14" t="s">
        <v>1713</v>
      </c>
      <c r="G509" s="11"/>
      <c r="H509" s="11"/>
      <c r="I509" s="12">
        <v>0</v>
      </c>
      <c r="J509" s="12">
        <v>0</v>
      </c>
      <c r="K509" s="13" t="str">
        <f t="shared" si="110"/>
        <v>Twitter for Android</v>
      </c>
      <c r="L509" s="12">
        <v>804</v>
      </c>
      <c r="M509" s="12">
        <v>1043</v>
      </c>
      <c r="N509" s="12">
        <v>8</v>
      </c>
      <c r="O509" s="15"/>
      <c r="P509" s="6">
        <v>41954.660405092596</v>
      </c>
      <c r="Q509" s="11"/>
      <c r="R509" s="17" t="s">
        <v>3328</v>
      </c>
      <c r="S509" s="14" t="s">
        <v>3329</v>
      </c>
      <c r="T509" s="11"/>
      <c r="U509" s="10" t="str">
        <f>HYPERLINK("https://pbs.twimg.com/profile_images/1025622799283630080/BeM9PIam.jpg","View")</f>
        <v>View</v>
      </c>
    </row>
    <row r="510" spans="1:21" ht="51">
      <c r="A510" s="6">
        <v>43426.563796296294</v>
      </c>
      <c r="B510" s="7" t="str">
        <f>HYPERLINK("https://twitter.com/alibonbel","@alibonbel")</f>
        <v>@alibonbel</v>
      </c>
      <c r="C510" s="8" t="s">
        <v>3331</v>
      </c>
      <c r="D510" s="9" t="s">
        <v>3333</v>
      </c>
      <c r="E510" s="10" t="str">
        <f>HYPERLINK("https://twitter.com/alibonbel/status/1065719539386720256","1065719539386720256")</f>
        <v>1065719539386720256</v>
      </c>
      <c r="F510" s="14" t="s">
        <v>3334</v>
      </c>
      <c r="G510" s="11"/>
      <c r="H510" s="11"/>
      <c r="I510" s="12">
        <v>2</v>
      </c>
      <c r="J510" s="12">
        <v>3</v>
      </c>
      <c r="K510" s="13" t="str">
        <f t="shared" si="110"/>
        <v>Twitter for Android</v>
      </c>
      <c r="L510" s="12">
        <v>8093</v>
      </c>
      <c r="M510" s="12">
        <v>8111</v>
      </c>
      <c r="N510" s="12">
        <v>40</v>
      </c>
      <c r="O510" s="15"/>
      <c r="P510" s="6">
        <v>42201.640833333338</v>
      </c>
      <c r="Q510" s="16" t="s">
        <v>3337</v>
      </c>
      <c r="R510" s="17" t="s">
        <v>3338</v>
      </c>
      <c r="S510" s="11"/>
      <c r="T510" s="11"/>
      <c r="U510" s="10" t="str">
        <f>HYPERLINK("https://pbs.twimg.com/profile_images/1051005810724233216/_zj7Cuwc.jpg","View")</f>
        <v>View</v>
      </c>
    </row>
    <row r="511" spans="1:21" ht="40.799999999999997">
      <c r="A511" s="6">
        <v>43426.563460648147</v>
      </c>
      <c r="B511" s="7" t="str">
        <f>HYPERLINK("https://twitter.com/johnwlondono","@johnwlondono")</f>
        <v>@johnwlondono</v>
      </c>
      <c r="C511" s="8" t="s">
        <v>1307</v>
      </c>
      <c r="D511" s="9" t="s">
        <v>1308</v>
      </c>
      <c r="E511" s="10" t="str">
        <f>HYPERLINK("https://twitter.com/johnwlondono/status/1065719415713525760","1065719415713525760")</f>
        <v>1065719415713525760</v>
      </c>
      <c r="F511" s="11"/>
      <c r="G511" s="11"/>
      <c r="H511" s="11"/>
      <c r="I511" s="12">
        <v>11</v>
      </c>
      <c r="J511" s="12">
        <v>7</v>
      </c>
      <c r="K511" s="13" t="str">
        <f t="shared" si="110"/>
        <v>Twitter for Android</v>
      </c>
      <c r="L511" s="12">
        <v>60</v>
      </c>
      <c r="M511" s="12">
        <v>154</v>
      </c>
      <c r="N511" s="12">
        <v>0</v>
      </c>
      <c r="O511" s="15"/>
      <c r="P511" s="6">
        <v>43239.71094907407</v>
      </c>
      <c r="Q511" s="11"/>
      <c r="R511" s="19"/>
      <c r="S511" s="11"/>
      <c r="T511" s="11"/>
      <c r="U511" s="10" t="str">
        <f>HYPERLINK("https://pbs.twimg.com/profile_images/1026600586949656577/I_U1gPWm.jpg","View")</f>
        <v>View</v>
      </c>
    </row>
    <row r="512" spans="1:21" ht="40.799999999999997">
      <c r="A512" s="6">
        <v>43426.562430555554</v>
      </c>
      <c r="B512" s="7" t="str">
        <f>HYPERLINK("https://twitter.com/rafaesp","@rafaesp")</f>
        <v>@rafaesp</v>
      </c>
      <c r="C512" s="8" t="s">
        <v>3345</v>
      </c>
      <c r="D512" s="9" t="s">
        <v>3346</v>
      </c>
      <c r="E512" s="10" t="str">
        <f>HYPERLINK("https://twitter.com/rafaesp/status/1065719041736798210","1065719041736798210")</f>
        <v>1065719041736798210</v>
      </c>
      <c r="F512" s="16" t="s">
        <v>3347</v>
      </c>
      <c r="G512" s="11"/>
      <c r="H512" s="11"/>
      <c r="I512" s="12">
        <v>0</v>
      </c>
      <c r="J512" s="12">
        <v>1</v>
      </c>
      <c r="K512" s="13" t="str">
        <f>HYPERLINK("http://twitter.com/download/iphone","Twitter for iPhone")</f>
        <v>Twitter for iPhone</v>
      </c>
      <c r="L512" s="12">
        <v>1484</v>
      </c>
      <c r="M512" s="12">
        <v>1107</v>
      </c>
      <c r="N512" s="12">
        <v>48</v>
      </c>
      <c r="O512" s="15"/>
      <c r="P512" s="6">
        <v>39207.632696759261</v>
      </c>
      <c r="Q512" s="16" t="s">
        <v>3350</v>
      </c>
      <c r="R512" s="17" t="s">
        <v>3351</v>
      </c>
      <c r="S512" s="14" t="s">
        <v>3352</v>
      </c>
      <c r="T512" s="11"/>
      <c r="U512" s="10" t="str">
        <f>HYPERLINK("https://pbs.twimg.com/profile_images/1014924375064182784/Hegq2Pwz.jpg","View")</f>
        <v>View</v>
      </c>
    </row>
    <row r="513" spans="1:21" ht="30.6">
      <c r="A513" s="6">
        <v>43426.562314814815</v>
      </c>
      <c r="B513" s="7" t="str">
        <f>HYPERLINK("https://twitter.com/cuestini","@cuestini")</f>
        <v>@cuestini</v>
      </c>
      <c r="C513" s="8" t="s">
        <v>3358</v>
      </c>
      <c r="D513" s="9" t="s">
        <v>3304</v>
      </c>
      <c r="E513" s="10" t="str">
        <f>HYPERLINK("https://twitter.com/cuestini/status/1065718998883594241","1065718998883594241")</f>
        <v>1065718998883594241</v>
      </c>
      <c r="F513" s="11"/>
      <c r="G513" s="11"/>
      <c r="H513" s="11"/>
      <c r="I513" s="12">
        <v>2</v>
      </c>
      <c r="J513" s="12">
        <v>4</v>
      </c>
      <c r="K513" s="13" t="str">
        <f t="shared" ref="K513:K514" si="111">HYPERLINK("http://twitter.com/download/android","Twitter for Android")</f>
        <v>Twitter for Android</v>
      </c>
      <c r="L513" s="12">
        <v>106</v>
      </c>
      <c r="M513" s="12">
        <v>134</v>
      </c>
      <c r="N513" s="12">
        <v>1</v>
      </c>
      <c r="O513" s="15"/>
      <c r="P513" s="6">
        <v>41773.292916666665</v>
      </c>
      <c r="Q513" s="11"/>
      <c r="R513" s="17" t="s">
        <v>3362</v>
      </c>
      <c r="S513" s="11"/>
      <c r="T513" s="11"/>
      <c r="U513" s="10" t="str">
        <f>HYPERLINK("https://pbs.twimg.com/profile_images/966092195710332928/ZivONqh5.jpg","View")</f>
        <v>View</v>
      </c>
    </row>
    <row r="514" spans="1:21" ht="51">
      <c r="A514" s="6">
        <v>43426.562152777777</v>
      </c>
      <c r="B514" s="7" t="str">
        <f>HYPERLINK("https://twitter.com/elenfurecidoweb","@elenfurecidoweb")</f>
        <v>@elenfurecidoweb</v>
      </c>
      <c r="C514" s="8" t="s">
        <v>3367</v>
      </c>
      <c r="D514" s="9" t="s">
        <v>3369</v>
      </c>
      <c r="E514" s="10" t="str">
        <f>HYPERLINK("https://twitter.com/elenfurecidoweb/status/1065718941929168896","1065718941929168896")</f>
        <v>1065718941929168896</v>
      </c>
      <c r="F514" s="16" t="s">
        <v>3372</v>
      </c>
      <c r="G514" s="11"/>
      <c r="H514" s="11"/>
      <c r="I514" s="12">
        <v>0</v>
      </c>
      <c r="J514" s="12">
        <v>0</v>
      </c>
      <c r="K514" s="13" t="str">
        <f t="shared" si="111"/>
        <v>Twitter for Android</v>
      </c>
      <c r="L514" s="12">
        <v>134</v>
      </c>
      <c r="M514" s="12">
        <v>140</v>
      </c>
      <c r="N514" s="12">
        <v>0</v>
      </c>
      <c r="O514" s="15"/>
      <c r="P514" s="6">
        <v>43274.349745370375</v>
      </c>
      <c r="Q514" s="16" t="s">
        <v>3374</v>
      </c>
      <c r="R514" s="17" t="s">
        <v>3375</v>
      </c>
      <c r="S514" s="14" t="s">
        <v>3376</v>
      </c>
      <c r="T514" s="11"/>
      <c r="U514" s="10" t="str">
        <f>HYPERLINK("https://pbs.twimg.com/profile_images/1056513747068641281/hY8QxMuj.jpg","View")</f>
        <v>View</v>
      </c>
    </row>
    <row r="515" spans="1:21" ht="30.6">
      <c r="A515" s="6">
        <v>43426.562106481477</v>
      </c>
      <c r="B515" s="7" t="str">
        <f>HYPERLINK("https://twitter.com/DominicanHerald","@DominicanHerald")</f>
        <v>@DominicanHerald</v>
      </c>
      <c r="C515" s="8" t="s">
        <v>3378</v>
      </c>
      <c r="D515" s="9" t="s">
        <v>3379</v>
      </c>
      <c r="E515" s="10" t="str">
        <f>HYPERLINK("https://twitter.com/DominicanHerald/status/1065718924124307456","1065718924124307456")</f>
        <v>1065718924124307456</v>
      </c>
      <c r="F515" s="14" t="s">
        <v>3382</v>
      </c>
      <c r="G515" s="11"/>
      <c r="H515" s="11"/>
      <c r="I515" s="12">
        <v>0</v>
      </c>
      <c r="J515" s="12">
        <v>0</v>
      </c>
      <c r="K515" s="13" t="str">
        <f>HYPERLINK("https://ifttt.com","IFTTT")</f>
        <v>IFTTT</v>
      </c>
      <c r="L515" s="12">
        <v>1035</v>
      </c>
      <c r="M515" s="12">
        <v>33</v>
      </c>
      <c r="N515" s="12">
        <v>14</v>
      </c>
      <c r="O515" s="15"/>
      <c r="P515" s="6">
        <v>42105.440416666665</v>
      </c>
      <c r="Q515" s="16" t="s">
        <v>3383</v>
      </c>
      <c r="R515" s="17" t="s">
        <v>3384</v>
      </c>
      <c r="S515" s="14" t="s">
        <v>3385</v>
      </c>
      <c r="T515" s="11"/>
      <c r="U515" s="10" t="str">
        <f>HYPERLINK("https://pbs.twimg.com/profile_images/879155776559894528/QDRTmwnR.jpg","View")</f>
        <v>View</v>
      </c>
    </row>
    <row r="516" spans="1:21" ht="71.400000000000006">
      <c r="A516" s="6">
        <v>43426.560787037037</v>
      </c>
      <c r="B516" s="7" t="str">
        <f>HYPERLINK("https://twitter.com/MELILALAGUNA","@MELILALAGUNA")</f>
        <v>@MELILALAGUNA</v>
      </c>
      <c r="C516" s="8" t="s">
        <v>3388</v>
      </c>
      <c r="D516" s="9" t="s">
        <v>3389</v>
      </c>
      <c r="E516" s="10" t="str">
        <f>HYPERLINK("https://twitter.com/MELILALAGUNA/status/1065718445612896256","1065718445612896256")</f>
        <v>1065718445612896256</v>
      </c>
      <c r="F516" s="16" t="s">
        <v>3392</v>
      </c>
      <c r="G516" s="11"/>
      <c r="H516" s="11"/>
      <c r="I516" s="12">
        <v>0</v>
      </c>
      <c r="J516" s="12">
        <v>0</v>
      </c>
      <c r="K516" s="13" t="str">
        <f>HYPERLINK("http://twitter.com/download/iphone","Twitter for iPhone")</f>
        <v>Twitter for iPhone</v>
      </c>
      <c r="L516" s="12">
        <v>110</v>
      </c>
      <c r="M516" s="12">
        <v>130</v>
      </c>
      <c r="N516" s="12">
        <v>3</v>
      </c>
      <c r="O516" s="15"/>
      <c r="P516" s="6">
        <v>40974.532106481478</v>
      </c>
      <c r="Q516" s="11"/>
      <c r="R516" s="17" t="s">
        <v>3396</v>
      </c>
      <c r="S516" s="11"/>
      <c r="T516" s="11"/>
      <c r="U516" s="10" t="str">
        <f>HYPERLINK("https://pbs.twimg.com/profile_images/3257578371/604820aaeb8e74121ee8a9042bc5ce40.jpeg","View")</f>
        <v>View</v>
      </c>
    </row>
    <row r="517" spans="1:21" ht="61.2">
      <c r="A517" s="6">
        <v>43426.559479166666</v>
      </c>
      <c r="B517" s="7" t="str">
        <f>HYPERLINK("https://twitter.com/mari59carmen","@mari59carmen")</f>
        <v>@mari59carmen</v>
      </c>
      <c r="C517" s="8" t="s">
        <v>3399</v>
      </c>
      <c r="D517" s="9" t="s">
        <v>3400</v>
      </c>
      <c r="E517" s="10" t="str">
        <f>HYPERLINK("https://twitter.com/mari59carmen/status/1065717972696739843","1065717972696739843")</f>
        <v>1065717972696739843</v>
      </c>
      <c r="F517" s="16" t="s">
        <v>3403</v>
      </c>
      <c r="G517" s="11"/>
      <c r="H517" s="11"/>
      <c r="I517" s="12">
        <v>0</v>
      </c>
      <c r="J517" s="12">
        <v>0</v>
      </c>
      <c r="K517" s="13" t="str">
        <f t="shared" ref="K517:K520" si="112">HYPERLINK("http://twitter.com/download/android","Twitter for Android")</f>
        <v>Twitter for Android</v>
      </c>
      <c r="L517" s="12">
        <v>70</v>
      </c>
      <c r="M517" s="12">
        <v>101</v>
      </c>
      <c r="N517" s="12">
        <v>0</v>
      </c>
      <c r="O517" s="15"/>
      <c r="P517" s="6">
        <v>43012.217986111107</v>
      </c>
      <c r="Q517" s="11"/>
      <c r="R517" s="17" t="s">
        <v>3405</v>
      </c>
      <c r="S517" s="11"/>
      <c r="T517" s="11"/>
      <c r="U517" s="10" t="str">
        <f>HYPERLINK("https://pbs.twimg.com/profile_images/915555847480266752/Ivy4PIjk.jpg","View")</f>
        <v>View</v>
      </c>
    </row>
    <row r="518" spans="1:21" ht="51">
      <c r="A518" s="6">
        <v>43426.55868055555</v>
      </c>
      <c r="B518" s="7" t="str">
        <f>HYPERLINK("https://twitter.com/marquezsergio09","@marquezsergio09")</f>
        <v>@marquezsergio09</v>
      </c>
      <c r="C518" s="8" t="s">
        <v>3408</v>
      </c>
      <c r="D518" s="9" t="s">
        <v>3409</v>
      </c>
      <c r="E518" s="10" t="str">
        <f>HYPERLINK("https://twitter.com/marquezsergio09/status/1065717685395382272","1065717685395382272")</f>
        <v>1065717685395382272</v>
      </c>
      <c r="F518" s="14" t="s">
        <v>3410</v>
      </c>
      <c r="G518" s="11"/>
      <c r="H518" s="11"/>
      <c r="I518" s="12">
        <v>1</v>
      </c>
      <c r="J518" s="12">
        <v>0</v>
      </c>
      <c r="K518" s="13" t="str">
        <f t="shared" si="112"/>
        <v>Twitter for Android</v>
      </c>
      <c r="L518" s="12">
        <v>255</v>
      </c>
      <c r="M518" s="12">
        <v>560</v>
      </c>
      <c r="N518" s="12">
        <v>0</v>
      </c>
      <c r="O518" s="15"/>
      <c r="P518" s="6">
        <v>42740.272418981476</v>
      </c>
      <c r="Q518" s="16" t="s">
        <v>2839</v>
      </c>
      <c r="R518" s="17" t="s">
        <v>3413</v>
      </c>
      <c r="S518" s="11"/>
      <c r="T518" s="11"/>
      <c r="U518" s="10" t="str">
        <f>HYPERLINK("https://pbs.twimg.com/profile_images/1063280678782058497/HVuBkRi2.jpg","View")</f>
        <v>View</v>
      </c>
    </row>
    <row r="519" spans="1:21" ht="20.399999999999999">
      <c r="A519" s="6">
        <v>43426.557534722218</v>
      </c>
      <c r="B519" s="7" t="str">
        <f>HYPERLINK("https://twitter.com/hopedsy","@hopedsy")</f>
        <v>@hopedsy</v>
      </c>
      <c r="C519" s="8" t="s">
        <v>3416</v>
      </c>
      <c r="D519" s="9" t="s">
        <v>768</v>
      </c>
      <c r="E519" s="10" t="str">
        <f>HYPERLINK("https://twitter.com/hopedsy/status/1065717269236461569","1065717269236461569")</f>
        <v>1065717269236461569</v>
      </c>
      <c r="F519" s="14" t="s">
        <v>529</v>
      </c>
      <c r="G519" s="11"/>
      <c r="H519" s="11"/>
      <c r="I519" s="12">
        <v>0</v>
      </c>
      <c r="J519" s="12">
        <v>0</v>
      </c>
      <c r="K519" s="13" t="str">
        <f t="shared" si="112"/>
        <v>Twitter for Android</v>
      </c>
      <c r="L519" s="12">
        <v>405</v>
      </c>
      <c r="M519" s="12">
        <v>566</v>
      </c>
      <c r="N519" s="12">
        <v>15</v>
      </c>
      <c r="O519" s="15"/>
      <c r="P519" s="6">
        <v>42568.12672453704</v>
      </c>
      <c r="Q519" s="11"/>
      <c r="R519" s="17" t="s">
        <v>3419</v>
      </c>
      <c r="S519" s="11"/>
      <c r="T519" s="11"/>
      <c r="U519" s="10" t="str">
        <f>HYPERLINK("https://pbs.twimg.com/profile_images/814237291229147136/bJPBbvoq.jpg","View")</f>
        <v>View</v>
      </c>
    </row>
    <row r="520" spans="1:21" ht="40.799999999999997">
      <c r="A520" s="6">
        <v>43426.557210648149</v>
      </c>
      <c r="B520" s="7" t="str">
        <f>HYPERLINK("https://twitter.com/makedonskiSK","@makedonskiSK")</f>
        <v>@makedonskiSK</v>
      </c>
      <c r="C520" s="8" t="s">
        <v>3422</v>
      </c>
      <c r="D520" s="9" t="s">
        <v>3423</v>
      </c>
      <c r="E520" s="10" t="str">
        <f>HYPERLINK("https://twitter.com/makedonskiSK/status/1065717150541852672","1065717150541852672")</f>
        <v>1065717150541852672</v>
      </c>
      <c r="F520" s="11"/>
      <c r="G520" s="11"/>
      <c r="H520" s="11"/>
      <c r="I520" s="12">
        <v>0</v>
      </c>
      <c r="J520" s="12">
        <v>0</v>
      </c>
      <c r="K520" s="13" t="str">
        <f t="shared" si="112"/>
        <v>Twitter for Android</v>
      </c>
      <c r="L520" s="12">
        <v>354</v>
      </c>
      <c r="M520" s="12">
        <v>912</v>
      </c>
      <c r="N520" s="12">
        <v>0</v>
      </c>
      <c r="O520" s="15"/>
      <c r="P520" s="6">
        <v>42790.448680555557</v>
      </c>
      <c r="Q520" s="16" t="s">
        <v>3425</v>
      </c>
      <c r="R520" s="17" t="s">
        <v>3426</v>
      </c>
      <c r="S520" s="14" t="s">
        <v>3427</v>
      </c>
      <c r="T520" s="11"/>
      <c r="U520" s="10" t="str">
        <f>HYPERLINK("https://pbs.twimg.com/profile_images/902503271381815296/PHeAise0.jpg","View")</f>
        <v>View</v>
      </c>
    </row>
    <row r="521" spans="1:21" ht="30.6">
      <c r="A521" s="6">
        <v>43426.555034722223</v>
      </c>
      <c r="B521" s="7" t="str">
        <f>HYPERLINK("https://twitter.com/angelmateoal","@angelmateoal")</f>
        <v>@angelmateoal</v>
      </c>
      <c r="C521" s="8" t="s">
        <v>1309</v>
      </c>
      <c r="D521" s="9" t="s">
        <v>1310</v>
      </c>
      <c r="E521" s="10" t="str">
        <f>HYPERLINK("https://twitter.com/angelmateoal/status/1065716363367464966","1065716363367464966")</f>
        <v>1065716363367464966</v>
      </c>
      <c r="F521" s="14" t="s">
        <v>1160</v>
      </c>
      <c r="G521" s="11"/>
      <c r="H521" s="11"/>
      <c r="I521" s="12">
        <v>0</v>
      </c>
      <c r="J521" s="12">
        <v>0</v>
      </c>
      <c r="K521" s="13" t="str">
        <f>HYPERLINK("http://twitter.com/download/iphone","Twitter for iPhone")</f>
        <v>Twitter for iPhone</v>
      </c>
      <c r="L521" s="12">
        <v>260</v>
      </c>
      <c r="M521" s="12">
        <v>156</v>
      </c>
      <c r="N521" s="12">
        <v>5</v>
      </c>
      <c r="O521" s="15"/>
      <c r="P521" s="6">
        <v>40640.570763888885</v>
      </c>
      <c r="Q521" s="16" t="s">
        <v>38</v>
      </c>
      <c r="R521" s="17" t="s">
        <v>1311</v>
      </c>
      <c r="S521" s="11"/>
      <c r="T521" s="11"/>
      <c r="U521" s="10" t="str">
        <f>HYPERLINK("https://pbs.twimg.com/profile_images/546625481601073153/IiWXXfAV.jpeg","View")</f>
        <v>View</v>
      </c>
    </row>
    <row r="522" spans="1:21" ht="20.399999999999999">
      <c r="A522" s="6">
        <v>43426.55469907407</v>
      </c>
      <c r="B522" s="7" t="str">
        <f>HYPERLINK("https://twitter.com/RebelhdX","@RebelhdX")</f>
        <v>@RebelhdX</v>
      </c>
      <c r="C522" s="8" t="s">
        <v>3436</v>
      </c>
      <c r="D522" s="9" t="s">
        <v>3437</v>
      </c>
      <c r="E522" s="10" t="str">
        <f>HYPERLINK("https://twitter.com/RebelhdX/status/1065716241929854979","1065716241929854979")</f>
        <v>1065716241929854979</v>
      </c>
      <c r="F522" s="11"/>
      <c r="G522" s="11"/>
      <c r="H522" s="11"/>
      <c r="I522" s="12">
        <v>0</v>
      </c>
      <c r="J522" s="12">
        <v>0</v>
      </c>
      <c r="K522" s="13" t="str">
        <f>HYPERLINK("http://twitter.com/download/android","Twitter for Android")</f>
        <v>Twitter for Android</v>
      </c>
      <c r="L522" s="12">
        <v>4</v>
      </c>
      <c r="M522" s="12">
        <v>18</v>
      </c>
      <c r="N522" s="12">
        <v>0</v>
      </c>
      <c r="O522" s="15"/>
      <c r="P522" s="6">
        <v>43370.611608796295</v>
      </c>
      <c r="Q522" s="16" t="s">
        <v>3444</v>
      </c>
      <c r="R522" s="17" t="s">
        <v>3445</v>
      </c>
      <c r="S522" s="11"/>
      <c r="T522" s="11"/>
      <c r="U522" s="10" t="str">
        <f>HYPERLINK("https://pbs.twimg.com/profile_images/1045434179717144576/vvyn4erp.jpg","View")</f>
        <v>View</v>
      </c>
    </row>
    <row r="523" spans="1:21" ht="30.6">
      <c r="A523" s="6">
        <v>43426.554641203707</v>
      </c>
      <c r="B523" s="7" t="str">
        <f>HYPERLINK("https://twitter.com/SINIQUITATE","@SINIQUITATE")</f>
        <v>@SINIQUITATE</v>
      </c>
      <c r="C523" s="8" t="s">
        <v>3447</v>
      </c>
      <c r="D523" s="9" t="s">
        <v>3449</v>
      </c>
      <c r="E523" s="10" t="str">
        <f>HYPERLINK("https://twitter.com/SINIQUITATE/status/1065716220543057920","1065716220543057920")</f>
        <v>1065716220543057920</v>
      </c>
      <c r="F523" s="14" t="s">
        <v>3451</v>
      </c>
      <c r="G523" s="11"/>
      <c r="H523" s="11"/>
      <c r="I523" s="12">
        <v>0</v>
      </c>
      <c r="J523" s="12">
        <v>0</v>
      </c>
      <c r="K523" s="13" t="str">
        <f>HYPERLINK("http://www.facebook.com/twitter","Facebook")</f>
        <v>Facebook</v>
      </c>
      <c r="L523" s="12">
        <v>703</v>
      </c>
      <c r="M523" s="12">
        <v>2597</v>
      </c>
      <c r="N523" s="12">
        <v>17</v>
      </c>
      <c r="O523" s="15"/>
      <c r="P523" s="6">
        <v>40274.158750000002</v>
      </c>
      <c r="Q523" s="16" t="s">
        <v>3455</v>
      </c>
      <c r="R523" s="17" t="s">
        <v>3456</v>
      </c>
      <c r="S523" s="14" t="s">
        <v>3457</v>
      </c>
      <c r="T523" s="11"/>
      <c r="U523" s="10" t="str">
        <f>HYPERLINK("https://pbs.twimg.com/profile_images/790646685227708417/a7Ljk0yi.jpg","View")</f>
        <v>View</v>
      </c>
    </row>
    <row r="524" spans="1:21" ht="20.399999999999999">
      <c r="A524" s="6">
        <v>43426.55368055556</v>
      </c>
      <c r="B524" s="7" t="str">
        <f>HYPERLINK("https://twitter.com/elcomunistanet","@elcomunistanet")</f>
        <v>@elcomunistanet</v>
      </c>
      <c r="C524" s="22" t="s">
        <v>3460</v>
      </c>
      <c r="D524" s="9" t="s">
        <v>3379</v>
      </c>
      <c r="E524" s="10" t="str">
        <f>HYPERLINK("https://twitter.com/elcomunistanet/status/1065715871241392129","1065715871241392129")</f>
        <v>1065715871241392129</v>
      </c>
      <c r="F524" s="14" t="s">
        <v>1390</v>
      </c>
      <c r="G524" s="14" t="s">
        <v>3462</v>
      </c>
      <c r="H524" s="11"/>
      <c r="I524" s="12">
        <v>0</v>
      </c>
      <c r="J524" s="12">
        <v>0</v>
      </c>
      <c r="K524" s="13" t="str">
        <f>HYPERLINK("http://publicize.wp.com/","WordPress.com")</f>
        <v>WordPress.com</v>
      </c>
      <c r="L524" s="12">
        <v>2637</v>
      </c>
      <c r="M524" s="12">
        <v>662</v>
      </c>
      <c r="N524" s="12">
        <v>62</v>
      </c>
      <c r="O524" s="15"/>
      <c r="P524" s="6">
        <v>40680.581342592595</v>
      </c>
      <c r="Q524" s="16" t="s">
        <v>3466</v>
      </c>
      <c r="R524" s="17" t="s">
        <v>3467</v>
      </c>
      <c r="S524" s="14" t="s">
        <v>3468</v>
      </c>
      <c r="T524" s="11"/>
      <c r="U524" s="10" t="str">
        <f>HYPERLINK("https://pbs.twimg.com/profile_images/1006672537168809985/YT4t6m_x.jpg","View")</f>
        <v>View</v>
      </c>
    </row>
    <row r="525" spans="1:21" ht="71.400000000000006">
      <c r="A525" s="6">
        <v>43426.553460648152</v>
      </c>
      <c r="B525" s="7" t="str">
        <f>HYPERLINK("https://twitter.com/Tataguay","@Tataguay")</f>
        <v>@Tataguay</v>
      </c>
      <c r="C525" s="8" t="s">
        <v>1314</v>
      </c>
      <c r="D525" s="9" t="s">
        <v>1315</v>
      </c>
      <c r="E525" s="10" t="str">
        <f>HYPERLINK("https://twitter.com/Tataguay/status/1065715791260196865","1065715791260196865")</f>
        <v>1065715791260196865</v>
      </c>
      <c r="F525" s="14" t="s">
        <v>1317</v>
      </c>
      <c r="G525" s="14" t="s">
        <v>1318</v>
      </c>
      <c r="H525" s="11"/>
      <c r="I525" s="12">
        <v>0</v>
      </c>
      <c r="J525" s="12">
        <v>1</v>
      </c>
      <c r="K525" s="13" t="str">
        <f t="shared" ref="K525:K526" si="113">HYPERLINK("http://twitter.com","Twitter Web Client")</f>
        <v>Twitter Web Client</v>
      </c>
      <c r="L525" s="12">
        <v>982</v>
      </c>
      <c r="M525" s="12">
        <v>1892</v>
      </c>
      <c r="N525" s="12">
        <v>4</v>
      </c>
      <c r="O525" s="15"/>
      <c r="P525" s="6">
        <v>40478.260636574072</v>
      </c>
      <c r="Q525" s="16" t="s">
        <v>1320</v>
      </c>
      <c r="R525" s="17" t="s">
        <v>1321</v>
      </c>
      <c r="S525" s="11"/>
      <c r="T525" s="11"/>
      <c r="U525" s="10" t="str">
        <f>HYPERLINK("https://pbs.twimg.com/profile_images/914989519966998528/V5sg3EYQ.jpg","View")</f>
        <v>View</v>
      </c>
    </row>
    <row r="526" spans="1:21" ht="30.6">
      <c r="A526" s="6">
        <v>43426.55263888889</v>
      </c>
      <c r="B526" s="7" t="str">
        <f>HYPERLINK("https://twitter.com/gaztelumaite","@gaztelumaite")</f>
        <v>@gaztelumaite</v>
      </c>
      <c r="C526" s="8" t="s">
        <v>1324</v>
      </c>
      <c r="D526" s="9" t="s">
        <v>1325</v>
      </c>
      <c r="E526" s="10" t="str">
        <f>HYPERLINK("https://twitter.com/gaztelumaite/status/1065715493787656197","1065715493787656197")</f>
        <v>1065715493787656197</v>
      </c>
      <c r="F526" s="11"/>
      <c r="G526" s="11"/>
      <c r="H526" s="11"/>
      <c r="I526" s="12">
        <v>0</v>
      </c>
      <c r="J526" s="12">
        <v>1</v>
      </c>
      <c r="K526" s="13" t="str">
        <f t="shared" si="113"/>
        <v>Twitter Web Client</v>
      </c>
      <c r="L526" s="12">
        <v>714</v>
      </c>
      <c r="M526" s="12">
        <v>572</v>
      </c>
      <c r="N526" s="12">
        <v>9</v>
      </c>
      <c r="O526" s="15"/>
      <c r="P526" s="6">
        <v>40494.34814814815</v>
      </c>
      <c r="Q526" s="16" t="s">
        <v>87</v>
      </c>
      <c r="R526" s="17" t="s">
        <v>1329</v>
      </c>
      <c r="S526" s="11"/>
      <c r="T526" s="11"/>
      <c r="U526" s="10" t="str">
        <f>HYPERLINK("https://pbs.twimg.com/profile_images/1017492230989402113/F-ctNdWe.jpg","View")</f>
        <v>View</v>
      </c>
    </row>
    <row r="527" spans="1:21" ht="20.399999999999999">
      <c r="A527" s="6">
        <v>43426.551284722227</v>
      </c>
      <c r="B527" s="7" t="str">
        <f>HYPERLINK("https://twitter.com/TheWatchBegins","@TheWatchBegins")</f>
        <v>@TheWatchBegins</v>
      </c>
      <c r="C527" s="8" t="s">
        <v>3481</v>
      </c>
      <c r="D527" s="9" t="s">
        <v>3482</v>
      </c>
      <c r="E527" s="10" t="str">
        <f>HYPERLINK("https://twitter.com/TheWatchBegins/status/1065715005243486211","1065715005243486211")</f>
        <v>1065715005243486211</v>
      </c>
      <c r="F527" s="14" t="s">
        <v>3484</v>
      </c>
      <c r="G527" s="11"/>
      <c r="H527" s="11"/>
      <c r="I527" s="12">
        <v>0</v>
      </c>
      <c r="J527" s="12">
        <v>2</v>
      </c>
      <c r="K527" s="13" t="str">
        <f>HYPERLINK("https://curiouscat.me","Curious Cat")</f>
        <v>Curious Cat</v>
      </c>
      <c r="L527" s="12">
        <v>697</v>
      </c>
      <c r="M527" s="12">
        <v>371</v>
      </c>
      <c r="N527" s="12">
        <v>20</v>
      </c>
      <c r="O527" s="15"/>
      <c r="P527" s="6">
        <v>40613.399710648147</v>
      </c>
      <c r="Q527" s="16" t="s">
        <v>3485</v>
      </c>
      <c r="R527" s="17" t="s">
        <v>3486</v>
      </c>
      <c r="S527" s="14" t="s">
        <v>3487</v>
      </c>
      <c r="T527" s="11"/>
      <c r="U527" s="10" t="str">
        <f>HYPERLINK("https://pbs.twimg.com/profile_images/972023488339988481/6Kq1sC9p.jpg","View")</f>
        <v>View</v>
      </c>
    </row>
    <row r="528" spans="1:21" ht="112.2">
      <c r="A528" s="6">
        <v>43426.549803240741</v>
      </c>
      <c r="B528" s="7" t="str">
        <f>HYPERLINK("https://twitter.com/Tataguay","@Tataguay")</f>
        <v>@Tataguay</v>
      </c>
      <c r="C528" s="8" t="s">
        <v>1314</v>
      </c>
      <c r="D528" s="9" t="s">
        <v>1332</v>
      </c>
      <c r="E528" s="10" t="str">
        <f>HYPERLINK("https://twitter.com/Tataguay/status/1065714467546296320","1065714467546296320")</f>
        <v>1065714467546296320</v>
      </c>
      <c r="F528" s="14" t="s">
        <v>1333</v>
      </c>
      <c r="G528" s="14" t="s">
        <v>1334</v>
      </c>
      <c r="H528" s="11"/>
      <c r="I528" s="12">
        <v>0</v>
      </c>
      <c r="J528" s="12">
        <v>0</v>
      </c>
      <c r="K528" s="13" t="str">
        <f>HYPERLINK("http://twitter.com","Twitter Web Client")</f>
        <v>Twitter Web Client</v>
      </c>
      <c r="L528" s="12">
        <v>982</v>
      </c>
      <c r="M528" s="12">
        <v>1892</v>
      </c>
      <c r="N528" s="12">
        <v>4</v>
      </c>
      <c r="O528" s="15"/>
      <c r="P528" s="6">
        <v>40478.260636574072</v>
      </c>
      <c r="Q528" s="16" t="s">
        <v>1320</v>
      </c>
      <c r="R528" s="17" t="s">
        <v>1321</v>
      </c>
      <c r="S528" s="11"/>
      <c r="T528" s="11"/>
      <c r="U528" s="10" t="str">
        <f>HYPERLINK("https://pbs.twimg.com/profile_images/914989519966998528/V5sg3EYQ.jpg","View")</f>
        <v>View</v>
      </c>
    </row>
    <row r="529" spans="1:21" ht="91.8">
      <c r="A529" s="6">
        <v>43426.549131944441</v>
      </c>
      <c r="B529" s="7" t="str">
        <f>HYPERLINK("https://twitter.com/GelGelder","@GelGelder")</f>
        <v>@GelGelder</v>
      </c>
      <c r="C529" s="8" t="s">
        <v>3027</v>
      </c>
      <c r="D529" s="9" t="s">
        <v>3495</v>
      </c>
      <c r="E529" s="10" t="str">
        <f>HYPERLINK("https://twitter.com/GelGelder/status/1065714222892556289","1065714222892556289")</f>
        <v>1065714222892556289</v>
      </c>
      <c r="F529" s="14" t="s">
        <v>3496</v>
      </c>
      <c r="G529" s="14" t="s">
        <v>3497</v>
      </c>
      <c r="H529" s="11"/>
      <c r="I529" s="12">
        <v>0</v>
      </c>
      <c r="J529" s="12">
        <v>0</v>
      </c>
      <c r="K529" s="13" t="str">
        <f>HYPERLINK("http://twitter.com/download/android","Twitter for Android")</f>
        <v>Twitter for Android</v>
      </c>
      <c r="L529" s="12">
        <v>2678</v>
      </c>
      <c r="M529" s="12">
        <v>1322</v>
      </c>
      <c r="N529" s="12">
        <v>6</v>
      </c>
      <c r="O529" s="15"/>
      <c r="P529" s="6">
        <v>40747.266180555554</v>
      </c>
      <c r="Q529" s="16" t="s">
        <v>3030</v>
      </c>
      <c r="R529" s="17" t="s">
        <v>3031</v>
      </c>
      <c r="S529" s="11"/>
      <c r="T529" s="11"/>
      <c r="U529" s="10" t="str">
        <f>HYPERLINK("https://pbs.twimg.com/profile_images/687746564006264832/0GqvYzpg.jpg","View")</f>
        <v>View</v>
      </c>
    </row>
    <row r="530" spans="1:21" ht="71.400000000000006">
      <c r="A530" s="6">
        <v>43426.548159722224</v>
      </c>
      <c r="B530" s="7" t="str">
        <f>HYPERLINK("https://twitter.com/Enrique15121960","@Enrique15121960")</f>
        <v>@Enrique15121960</v>
      </c>
      <c r="C530" s="8" t="s">
        <v>3502</v>
      </c>
      <c r="D530" s="9" t="s">
        <v>3503</v>
      </c>
      <c r="E530" s="10" t="str">
        <f>HYPERLINK("https://twitter.com/Enrique15121960/status/1065713871057498114","1065713871057498114")</f>
        <v>1065713871057498114</v>
      </c>
      <c r="F530" s="16" t="s">
        <v>1797</v>
      </c>
      <c r="G530" s="11"/>
      <c r="H530" s="11"/>
      <c r="I530" s="12">
        <v>0</v>
      </c>
      <c r="J530" s="12">
        <v>0</v>
      </c>
      <c r="K530" s="13" t="str">
        <f>HYPERLINK("http://twitter.com","Twitter Web Client")</f>
        <v>Twitter Web Client</v>
      </c>
      <c r="L530" s="12">
        <v>8283</v>
      </c>
      <c r="M530" s="12">
        <v>9251</v>
      </c>
      <c r="N530" s="12">
        <v>11</v>
      </c>
      <c r="O530" s="15"/>
      <c r="P530" s="6">
        <v>42820.965474537035</v>
      </c>
      <c r="Q530" s="16" t="s">
        <v>3305</v>
      </c>
      <c r="R530" s="17" t="s">
        <v>3504</v>
      </c>
      <c r="S530" s="11"/>
      <c r="T530" s="11"/>
      <c r="U530" s="10" t="str">
        <f>HYPERLINK("https://pbs.twimg.com/profile_images/1015139471837335552/UOPLf0Aq.jpg","View")</f>
        <v>View</v>
      </c>
    </row>
    <row r="531" spans="1:21" ht="30.6">
      <c r="A531" s="6">
        <v>43426.546967592592</v>
      </c>
      <c r="B531" s="7" t="str">
        <f>HYPERLINK("https://twitter.com/Ferreru4","@Ferreru4")</f>
        <v>@Ferreru4</v>
      </c>
      <c r="C531" s="8" t="s">
        <v>3505</v>
      </c>
      <c r="D531" s="9" t="s">
        <v>1573</v>
      </c>
      <c r="E531" s="10" t="str">
        <f>HYPERLINK("https://twitter.com/Ferreru4/status/1065713440197619712","1065713440197619712")</f>
        <v>1065713440197619712</v>
      </c>
      <c r="F531" s="14" t="s">
        <v>1316</v>
      </c>
      <c r="G531" s="11"/>
      <c r="H531" s="11"/>
      <c r="I531" s="12">
        <v>28</v>
      </c>
      <c r="J531" s="12">
        <v>19</v>
      </c>
      <c r="K531" s="13" t="str">
        <f t="shared" ref="K531:K532" si="114">HYPERLINK("http://twitter.com/download/android","Twitter for Android")</f>
        <v>Twitter for Android</v>
      </c>
      <c r="L531" s="12">
        <v>3818</v>
      </c>
      <c r="M531" s="12">
        <v>2663</v>
      </c>
      <c r="N531" s="12">
        <v>30</v>
      </c>
      <c r="O531" s="15"/>
      <c r="P531" s="6">
        <v>42536.148136574076</v>
      </c>
      <c r="Q531" s="11"/>
      <c r="R531" s="17" t="s">
        <v>3507</v>
      </c>
      <c r="S531" s="11"/>
      <c r="T531" s="11"/>
      <c r="U531" s="10" t="str">
        <f>HYPERLINK("https://pbs.twimg.com/profile_images/882853449989279744/A0l0ftMh.jpg","View")</f>
        <v>View</v>
      </c>
    </row>
    <row r="532" spans="1:21" ht="51">
      <c r="A532" s="6">
        <v>43426.543715277774</v>
      </c>
      <c r="B532" s="7" t="str">
        <f>HYPERLINK("https://twitter.com/fromerod","@fromerod")</f>
        <v>@fromerod</v>
      </c>
      <c r="C532" s="8" t="s">
        <v>3510</v>
      </c>
      <c r="D532" s="9" t="s">
        <v>3511</v>
      </c>
      <c r="E532" s="10" t="str">
        <f>HYPERLINK("https://twitter.com/fromerod/status/1065712260532891654","1065712260532891654")</f>
        <v>1065712260532891654</v>
      </c>
      <c r="F532" s="14" t="s">
        <v>3512</v>
      </c>
      <c r="G532" s="14" t="s">
        <v>3043</v>
      </c>
      <c r="H532" s="11"/>
      <c r="I532" s="12">
        <v>26</v>
      </c>
      <c r="J532" s="12">
        <v>28</v>
      </c>
      <c r="K532" s="13" t="str">
        <f t="shared" si="114"/>
        <v>Twitter for Android</v>
      </c>
      <c r="L532" s="12">
        <v>2807</v>
      </c>
      <c r="M532" s="12">
        <v>981</v>
      </c>
      <c r="N532" s="12">
        <v>54</v>
      </c>
      <c r="O532" s="15"/>
      <c r="P532" s="6">
        <v>39936.405624999999</v>
      </c>
      <c r="Q532" s="16" t="s">
        <v>3513</v>
      </c>
      <c r="R532" s="17" t="s">
        <v>3514</v>
      </c>
      <c r="S532" s="14" t="s">
        <v>3515</v>
      </c>
      <c r="T532" s="11"/>
      <c r="U532" s="10" t="str">
        <f>HYPERLINK("https://pbs.twimg.com/profile_images/1056921890718126084/8VD4uexx.jpg","View")</f>
        <v>View</v>
      </c>
    </row>
    <row r="533" spans="1:21" ht="51">
      <c r="A533" s="6">
        <v>43426.54305555555</v>
      </c>
      <c r="B533" s="7" t="str">
        <f>HYPERLINK("https://twitter.com/bitMomentum","@bitMomentum")</f>
        <v>@bitMomentum</v>
      </c>
      <c r="C533" s="8" t="s">
        <v>1033</v>
      </c>
      <c r="D533" s="9" t="s">
        <v>1335</v>
      </c>
      <c r="E533" s="10" t="str">
        <f>HYPERLINK("https://twitter.com/bitMomentum/status/1065712019838562304","1065712019838562304")</f>
        <v>1065712019838562304</v>
      </c>
      <c r="F533" s="11"/>
      <c r="G533" s="11"/>
      <c r="H533" s="11"/>
      <c r="I533" s="12">
        <v>0</v>
      </c>
      <c r="J533" s="12">
        <v>0</v>
      </c>
      <c r="K533" s="13" t="str">
        <f>HYPERLINK("http://www.bitmomentum.com","bitMomentum Bot")</f>
        <v>bitMomentum Bot</v>
      </c>
      <c r="L533" s="12">
        <v>10132</v>
      </c>
      <c r="M533" s="12">
        <v>1060</v>
      </c>
      <c r="N533" s="12">
        <v>267</v>
      </c>
      <c r="O533" s="15"/>
      <c r="P533" s="6">
        <v>41608.292511574073</v>
      </c>
      <c r="Q533" s="11"/>
      <c r="R533" s="17" t="s">
        <v>1038</v>
      </c>
      <c r="S533" s="14" t="s">
        <v>1039</v>
      </c>
      <c r="T533" s="11"/>
      <c r="U533" s="10" t="str">
        <f>HYPERLINK("https://pbs.twimg.com/profile_images/378800000862185241/20ij2H3u.png","View")</f>
        <v>View</v>
      </c>
    </row>
    <row r="534" spans="1:21" ht="112.2">
      <c r="A534" s="6">
        <v>43426.54241898148</v>
      </c>
      <c r="B534" s="7" t="str">
        <f>HYPERLINK("https://twitter.com/Tataguay","@Tataguay")</f>
        <v>@Tataguay</v>
      </c>
      <c r="C534" s="8" t="s">
        <v>1314</v>
      </c>
      <c r="D534" s="9" t="s">
        <v>1337</v>
      </c>
      <c r="E534" s="10" t="str">
        <f>HYPERLINK("https://twitter.com/Tataguay/status/1065711788707201024","1065711788707201024")</f>
        <v>1065711788707201024</v>
      </c>
      <c r="F534" s="14" t="s">
        <v>1338</v>
      </c>
      <c r="G534" s="11"/>
      <c r="H534" s="11"/>
      <c r="I534" s="12">
        <v>1</v>
      </c>
      <c r="J534" s="12">
        <v>3</v>
      </c>
      <c r="K534" s="13" t="str">
        <f>HYPERLINK("http://twitter.com","Twitter Web Client")</f>
        <v>Twitter Web Client</v>
      </c>
      <c r="L534" s="12">
        <v>982</v>
      </c>
      <c r="M534" s="12">
        <v>1892</v>
      </c>
      <c r="N534" s="12">
        <v>4</v>
      </c>
      <c r="O534" s="15"/>
      <c r="P534" s="6">
        <v>40478.260636574072</v>
      </c>
      <c r="Q534" s="16" t="s">
        <v>1320</v>
      </c>
      <c r="R534" s="17" t="s">
        <v>1321</v>
      </c>
      <c r="S534" s="11"/>
      <c r="T534" s="11"/>
      <c r="U534" s="10" t="str">
        <f>HYPERLINK("https://pbs.twimg.com/profile_images/914989519966998528/V5sg3EYQ.jpg","View")</f>
        <v>View</v>
      </c>
    </row>
    <row r="535" spans="1:21" ht="13.2">
      <c r="A535" s="6">
        <v>43426.542083333334</v>
      </c>
      <c r="B535" s="7" t="str">
        <f>HYPERLINK("https://twitter.com/juliocruzb","@juliocruzb")</f>
        <v>@juliocruzb</v>
      </c>
      <c r="C535" s="8" t="s">
        <v>3525</v>
      </c>
      <c r="D535" s="9" t="s">
        <v>3526</v>
      </c>
      <c r="E535" s="10" t="str">
        <f>HYPERLINK("https://twitter.com/juliocruzb/status/1065711668850757632","1065711668850757632")</f>
        <v>1065711668850757632</v>
      </c>
      <c r="F535" s="14" t="s">
        <v>529</v>
      </c>
      <c r="G535" s="11"/>
      <c r="H535" s="11"/>
      <c r="I535" s="12">
        <v>0</v>
      </c>
      <c r="J535" s="12">
        <v>0</v>
      </c>
      <c r="K535" s="13" t="str">
        <f>HYPERLINK("http://twitter.com/download/iphone","Twitter for iPhone")</f>
        <v>Twitter for iPhone</v>
      </c>
      <c r="L535" s="12">
        <v>3464</v>
      </c>
      <c r="M535" s="12">
        <v>1505</v>
      </c>
      <c r="N535" s="12">
        <v>61</v>
      </c>
      <c r="O535" s="15"/>
      <c r="P535" s="6">
        <v>40378.236180555556</v>
      </c>
      <c r="Q535" s="11"/>
      <c r="R535" s="17" t="s">
        <v>3528</v>
      </c>
      <c r="S535" s="11"/>
      <c r="T535" s="11"/>
      <c r="U535" s="10" t="str">
        <f>HYPERLINK("https://pbs.twimg.com/profile_images/574993264417206272/c4jpcgu9.jpeg","View")</f>
        <v>View</v>
      </c>
    </row>
    <row r="536" spans="1:21" ht="30.6">
      <c r="A536" s="6">
        <v>43426.540844907402</v>
      </c>
      <c r="B536" s="7" t="str">
        <f>HYPERLINK("https://twitter.com/pepar1950","@pepar1950")</f>
        <v>@pepar1950</v>
      </c>
      <c r="C536" s="8" t="s">
        <v>3529</v>
      </c>
      <c r="D536" s="9" t="s">
        <v>768</v>
      </c>
      <c r="E536" s="10" t="str">
        <f>HYPERLINK("https://twitter.com/pepar1950/status/1065711221482156033","1065711221482156033")</f>
        <v>1065711221482156033</v>
      </c>
      <c r="F536" s="14" t="s">
        <v>529</v>
      </c>
      <c r="G536" s="11"/>
      <c r="H536" s="11"/>
      <c r="I536" s="12">
        <v>0</v>
      </c>
      <c r="J536" s="12">
        <v>0</v>
      </c>
      <c r="K536" s="13" t="str">
        <f t="shared" ref="K536:K537" si="115">HYPERLINK("http://twitter.com","Twitter Web Client")</f>
        <v>Twitter Web Client</v>
      </c>
      <c r="L536" s="12">
        <v>4702</v>
      </c>
      <c r="M536" s="12">
        <v>4325</v>
      </c>
      <c r="N536" s="12">
        <v>6</v>
      </c>
      <c r="O536" s="15"/>
      <c r="P536" s="6">
        <v>40332.387615740743</v>
      </c>
      <c r="Q536" s="11"/>
      <c r="R536" s="17" t="s">
        <v>3532</v>
      </c>
      <c r="S536" s="11"/>
      <c r="T536" s="11"/>
      <c r="U536" s="10" t="str">
        <f>HYPERLINK("https://pbs.twimg.com/profile_images/1011382141022859265/Ml6n0bVD.jpg","View")</f>
        <v>View</v>
      </c>
    </row>
    <row r="537" spans="1:21" ht="81.599999999999994">
      <c r="A537" s="6">
        <v>43426.539965277778</v>
      </c>
      <c r="B537" s="7" t="str">
        <f>HYPERLINK("https://twitter.com/EKike1872","@EKike1872")</f>
        <v>@EKike1872</v>
      </c>
      <c r="C537" s="8" t="s">
        <v>1341</v>
      </c>
      <c r="D537" s="9" t="s">
        <v>1342</v>
      </c>
      <c r="E537" s="10" t="str">
        <f>HYPERLINK("https://twitter.com/EKike1872/status/1065710902396231682","1065710902396231682")</f>
        <v>1065710902396231682</v>
      </c>
      <c r="F537" s="16" t="s">
        <v>1112</v>
      </c>
      <c r="G537" s="11"/>
      <c r="H537" s="11"/>
      <c r="I537" s="12">
        <v>0</v>
      </c>
      <c r="J537" s="12">
        <v>0</v>
      </c>
      <c r="K537" s="13" t="str">
        <f t="shared" si="115"/>
        <v>Twitter Web Client</v>
      </c>
      <c r="L537" s="12">
        <v>1302</v>
      </c>
      <c r="M537" s="12">
        <v>2195</v>
      </c>
      <c r="N537" s="12">
        <v>12</v>
      </c>
      <c r="O537" s="15"/>
      <c r="P537" s="6">
        <v>40783.65011574074</v>
      </c>
      <c r="Q537" s="11"/>
      <c r="R537" s="17" t="s">
        <v>1345</v>
      </c>
      <c r="S537" s="11"/>
      <c r="T537" s="11"/>
      <c r="U537" s="10" t="str">
        <f>HYPERLINK("https://pbs.twimg.com/profile_images/576413207302111233/S_Ub-4ZB.jpeg","View")</f>
        <v>View</v>
      </c>
    </row>
    <row r="538" spans="1:21" ht="20.399999999999999">
      <c r="A538" s="6">
        <v>43426.538194444445</v>
      </c>
      <c r="B538" s="7" t="str">
        <f>HYPERLINK("https://twitter.com/geve_leo","@geve_leo")</f>
        <v>@geve_leo</v>
      </c>
      <c r="C538" s="8" t="s">
        <v>1347</v>
      </c>
      <c r="D538" s="9" t="s">
        <v>1348</v>
      </c>
      <c r="E538" s="10" t="str">
        <f>HYPERLINK("https://twitter.com/geve_leo/status/1065710260575526912","1065710260575526912")</f>
        <v>1065710260575526912</v>
      </c>
      <c r="F538" s="11"/>
      <c r="G538" s="14" t="s">
        <v>1349</v>
      </c>
      <c r="H538" s="11"/>
      <c r="I538" s="12">
        <v>0</v>
      </c>
      <c r="J538" s="12">
        <v>0</v>
      </c>
      <c r="K538" s="13" t="str">
        <f t="shared" ref="K538:K542" si="116">HYPERLINK("http://twitter.com/download/android","Twitter for Android")</f>
        <v>Twitter for Android</v>
      </c>
      <c r="L538" s="12">
        <v>1</v>
      </c>
      <c r="M538" s="12">
        <v>5</v>
      </c>
      <c r="N538" s="12">
        <v>0</v>
      </c>
      <c r="O538" s="15"/>
      <c r="P538" s="6">
        <v>43423.188240740739</v>
      </c>
      <c r="Q538" s="16" t="s">
        <v>1350</v>
      </c>
      <c r="R538" s="17" t="s">
        <v>1351</v>
      </c>
      <c r="S538" s="11"/>
      <c r="T538" s="11"/>
      <c r="U538" s="10" t="str">
        <f>HYPERLINK("https://pbs.twimg.com/profile_images/1064503076210528256/DSxDikj6.jpg","View")</f>
        <v>View</v>
      </c>
    </row>
    <row r="539" spans="1:21" ht="30.6">
      <c r="A539" s="6">
        <v>43426.537928240738</v>
      </c>
      <c r="B539" s="7" t="str">
        <f>HYPERLINK("https://twitter.com/MLobbo","@MLobbo")</f>
        <v>@MLobbo</v>
      </c>
      <c r="C539" s="8" t="s">
        <v>1355</v>
      </c>
      <c r="D539" s="9" t="s">
        <v>1357</v>
      </c>
      <c r="E539" s="10" t="str">
        <f>HYPERLINK("https://twitter.com/MLobbo/status/1065710165075419137","1065710165075419137")</f>
        <v>1065710165075419137</v>
      </c>
      <c r="F539" s="11"/>
      <c r="G539" s="11"/>
      <c r="H539" s="11"/>
      <c r="I539" s="12">
        <v>0</v>
      </c>
      <c r="J539" s="12">
        <v>0</v>
      </c>
      <c r="K539" s="13" t="str">
        <f t="shared" si="116"/>
        <v>Twitter for Android</v>
      </c>
      <c r="L539" s="12">
        <v>399</v>
      </c>
      <c r="M539" s="12">
        <v>428</v>
      </c>
      <c r="N539" s="12">
        <v>1</v>
      </c>
      <c r="O539" s="15"/>
      <c r="P539" s="6">
        <v>40420.702418981484</v>
      </c>
      <c r="Q539" s="16" t="s">
        <v>1358</v>
      </c>
      <c r="R539" s="17" t="s">
        <v>1359</v>
      </c>
      <c r="S539" s="11"/>
      <c r="T539" s="11"/>
      <c r="U539" s="10" t="str">
        <f>HYPERLINK("https://pbs.twimg.com/profile_images/769997724926218240/HyeYbVg-.jpg","View")</f>
        <v>View</v>
      </c>
    </row>
    <row r="540" spans="1:21" ht="112.2">
      <c r="A540" s="6">
        <v>43426.537037037036</v>
      </c>
      <c r="B540" s="7" t="str">
        <f>HYPERLINK("https://twitter.com/AsocVVJJ","@AsocVVJJ")</f>
        <v>@AsocVVJJ</v>
      </c>
      <c r="C540" s="8" t="s">
        <v>1362</v>
      </c>
      <c r="D540" s="9" t="s">
        <v>1363</v>
      </c>
      <c r="E540" s="10" t="str">
        <f>HYPERLINK("https://twitter.com/AsocVVJJ/status/1065709839085654017","1065709839085654017")</f>
        <v>1065709839085654017</v>
      </c>
      <c r="F540" s="14" t="s">
        <v>1365</v>
      </c>
      <c r="G540" s="14" t="s">
        <v>1366</v>
      </c>
      <c r="H540" s="11"/>
      <c r="I540" s="12">
        <v>2</v>
      </c>
      <c r="J540" s="12">
        <v>2</v>
      </c>
      <c r="K540" s="13" t="str">
        <f t="shared" si="116"/>
        <v>Twitter for Android</v>
      </c>
      <c r="L540" s="12">
        <v>3929</v>
      </c>
      <c r="M540" s="12">
        <v>4989</v>
      </c>
      <c r="N540" s="12">
        <v>73</v>
      </c>
      <c r="O540" s="15"/>
      <c r="P540" s="6">
        <v>41416.465578703705</v>
      </c>
      <c r="Q540" s="11"/>
      <c r="R540" s="17" t="s">
        <v>1369</v>
      </c>
      <c r="S540" s="14" t="s">
        <v>1370</v>
      </c>
      <c r="T540" s="11"/>
      <c r="U540" s="10" t="str">
        <f>HYPERLINK("https://pbs.twimg.com/profile_images/528907433209380864/OQse-mUQ.png","View")</f>
        <v>View</v>
      </c>
    </row>
    <row r="541" spans="1:21" ht="13.2">
      <c r="A541" s="6">
        <v>43426.535358796296</v>
      </c>
      <c r="B541" s="7" t="str">
        <f>HYPERLINK("https://twitter.com/WACO490","@WACO490")</f>
        <v>@WACO490</v>
      </c>
      <c r="C541" s="8" t="s">
        <v>3547</v>
      </c>
      <c r="D541" s="9" t="s">
        <v>3548</v>
      </c>
      <c r="E541" s="10" t="str">
        <f>HYPERLINK("https://twitter.com/WACO490/status/1065709232782274561","1065709232782274561")</f>
        <v>1065709232782274561</v>
      </c>
      <c r="F541" s="11"/>
      <c r="G541" s="14" t="s">
        <v>3549</v>
      </c>
      <c r="H541" s="11"/>
      <c r="I541" s="12">
        <v>0</v>
      </c>
      <c r="J541" s="12">
        <v>1</v>
      </c>
      <c r="K541" s="13" t="str">
        <f t="shared" si="116"/>
        <v>Twitter for Android</v>
      </c>
      <c r="L541" s="12">
        <v>655</v>
      </c>
      <c r="M541" s="12">
        <v>976</v>
      </c>
      <c r="N541" s="12">
        <v>11</v>
      </c>
      <c r="O541" s="15"/>
      <c r="P541" s="6">
        <v>41681.246562500004</v>
      </c>
      <c r="Q541" s="11"/>
      <c r="R541" s="19"/>
      <c r="S541" s="11"/>
      <c r="T541" s="11"/>
      <c r="U541" s="10" t="str">
        <f>HYPERLINK("https://pbs.twimg.com/profile_images/479733291730632704/UzMPILf4.jpeg","View")</f>
        <v>View</v>
      </c>
    </row>
    <row r="542" spans="1:21" ht="71.400000000000006">
      <c r="A542" s="6">
        <v>43426.535115740742</v>
      </c>
      <c r="B542" s="7" t="str">
        <f>HYPERLINK("https://twitter.com/TomasFe14020511","@TomasFe14020511")</f>
        <v>@TomasFe14020511</v>
      </c>
      <c r="C542" s="8" t="s">
        <v>1185</v>
      </c>
      <c r="D542" s="9" t="s">
        <v>1372</v>
      </c>
      <c r="E542" s="10" t="str">
        <f>HYPERLINK("https://twitter.com/TomasFe14020511/status/1065709143003148288","1065709143003148288")</f>
        <v>1065709143003148288</v>
      </c>
      <c r="F542" s="14" t="s">
        <v>1374</v>
      </c>
      <c r="G542" s="14" t="s">
        <v>1375</v>
      </c>
      <c r="H542" s="11"/>
      <c r="I542" s="12">
        <v>0</v>
      </c>
      <c r="J542" s="12">
        <v>0</v>
      </c>
      <c r="K542" s="13" t="str">
        <f t="shared" si="116"/>
        <v>Twitter for Android</v>
      </c>
      <c r="L542" s="12">
        <v>1321</v>
      </c>
      <c r="M542" s="12">
        <v>1311</v>
      </c>
      <c r="N542" s="12">
        <v>5</v>
      </c>
      <c r="O542" s="15"/>
      <c r="P542" s="6">
        <v>43048.962407407409</v>
      </c>
      <c r="Q542" s="16" t="s">
        <v>1188</v>
      </c>
      <c r="R542" s="17" t="s">
        <v>1189</v>
      </c>
      <c r="S542" s="11"/>
      <c r="T542" s="11"/>
      <c r="U542" s="10" t="str">
        <f>HYPERLINK("https://pbs.twimg.com/profile_images/991457940627447813/C8Mm4Yiy.jpg","View")</f>
        <v>View</v>
      </c>
    </row>
    <row r="543" spans="1:21" ht="40.799999999999997">
      <c r="A543" s="6">
        <v>43426.534189814818</v>
      </c>
      <c r="B543" s="7" t="str">
        <f>HYPERLINK("https://twitter.com/FaustoLizRD","@FaustoLizRD")</f>
        <v>@FaustoLizRD</v>
      </c>
      <c r="C543" s="8" t="s">
        <v>3555</v>
      </c>
      <c r="D543" s="9" t="s">
        <v>3556</v>
      </c>
      <c r="E543" s="10" t="str">
        <f>HYPERLINK("https://twitter.com/FaustoLizRD/status/1065708806687080449","1065708806687080449")</f>
        <v>1065708806687080449</v>
      </c>
      <c r="F543" s="11"/>
      <c r="G543" s="11"/>
      <c r="H543" s="11"/>
      <c r="I543" s="12">
        <v>0</v>
      </c>
      <c r="J543" s="12">
        <v>0</v>
      </c>
      <c r="K543" s="13" t="str">
        <f>HYPERLINK("http://twitter.com/download/iphone","Twitter for iPhone")</f>
        <v>Twitter for iPhone</v>
      </c>
      <c r="L543" s="12">
        <v>2307</v>
      </c>
      <c r="M543" s="12">
        <v>1495</v>
      </c>
      <c r="N543" s="12">
        <v>3</v>
      </c>
      <c r="O543" s="15"/>
      <c r="P543" s="6">
        <v>41585.364965277782</v>
      </c>
      <c r="Q543" s="16" t="s">
        <v>3560</v>
      </c>
      <c r="R543" s="17" t="s">
        <v>3561</v>
      </c>
      <c r="S543" s="11"/>
      <c r="T543" s="11"/>
      <c r="U543" s="10" t="str">
        <f>HYPERLINK("https://pbs.twimg.com/profile_images/809930674585092096/Oi3apYLy.jpg","View")</f>
        <v>View</v>
      </c>
    </row>
    <row r="544" spans="1:21" ht="40.799999999999997">
      <c r="A544" s="6">
        <v>43426.53334490741</v>
      </c>
      <c r="B544" s="7" t="str">
        <f>HYPERLINK("https://twitter.com/pepecabo","@pepecabo")</f>
        <v>@pepecabo</v>
      </c>
      <c r="C544" s="8" t="s">
        <v>3564</v>
      </c>
      <c r="D544" s="9" t="s">
        <v>3565</v>
      </c>
      <c r="E544" s="10" t="str">
        <f>HYPERLINK("https://twitter.com/pepecabo/status/1065708502419681281","1065708502419681281")</f>
        <v>1065708502419681281</v>
      </c>
      <c r="F544" s="14" t="s">
        <v>1316</v>
      </c>
      <c r="G544" s="11"/>
      <c r="H544" s="11"/>
      <c r="I544" s="12">
        <v>0</v>
      </c>
      <c r="J544" s="12">
        <v>0</v>
      </c>
      <c r="K544" s="13" t="str">
        <f>HYPERLINK("http://twitter.com/download/android","Twitter for Android")</f>
        <v>Twitter for Android</v>
      </c>
      <c r="L544" s="12">
        <v>2151</v>
      </c>
      <c r="M544" s="12">
        <v>1826</v>
      </c>
      <c r="N544" s="12">
        <v>74</v>
      </c>
      <c r="O544" s="15"/>
      <c r="P544" s="6">
        <v>41863.374930555554</v>
      </c>
      <c r="Q544" s="11"/>
      <c r="R544" s="17" t="s">
        <v>3567</v>
      </c>
      <c r="S544" s="11"/>
      <c r="T544" s="11"/>
      <c r="U544" s="10" t="str">
        <f>HYPERLINK("https://pbs.twimg.com/profile_images/828921457094848515/m6fFp1ck.jpg","View")</f>
        <v>View</v>
      </c>
    </row>
    <row r="545" spans="1:21" ht="61.2">
      <c r="A545" s="6">
        <v>43426.529861111107</v>
      </c>
      <c r="B545" s="7" t="str">
        <f>HYPERLINK("https://twitter.com/Radio_Sporting","@Radio_Sporting")</f>
        <v>@Radio_Sporting</v>
      </c>
      <c r="C545" s="8" t="s">
        <v>884</v>
      </c>
      <c r="D545" s="9" t="s">
        <v>3568</v>
      </c>
      <c r="E545" s="10" t="str">
        <f>HYPERLINK("https://twitter.com/Radio_Sporting/status/1065707239363760128","1065707239363760128")</f>
        <v>1065707239363760128</v>
      </c>
      <c r="F545" s="11"/>
      <c r="G545" s="14" t="s">
        <v>3571</v>
      </c>
      <c r="H545" s="11"/>
      <c r="I545" s="12">
        <v>1</v>
      </c>
      <c r="J545" s="12">
        <v>1</v>
      </c>
      <c r="K545" s="13" t="str">
        <f>HYPERLINK("https://about.twitter.com/products/tweetdeck","TweetDeck")</f>
        <v>TweetDeck</v>
      </c>
      <c r="L545" s="12">
        <v>2244</v>
      </c>
      <c r="M545" s="12">
        <v>1450</v>
      </c>
      <c r="N545" s="12">
        <v>35</v>
      </c>
      <c r="O545" s="15"/>
      <c r="P545" s="6">
        <v>41810.058981481481</v>
      </c>
      <c r="Q545" s="16" t="s">
        <v>891</v>
      </c>
      <c r="R545" s="17" t="s">
        <v>892</v>
      </c>
      <c r="S545" s="14" t="s">
        <v>893</v>
      </c>
      <c r="T545" s="11"/>
      <c r="U545" s="10" t="str">
        <f>HYPERLINK("https://pbs.twimg.com/profile_images/1046720125746008067/7_1_XRaL.jpg","View")</f>
        <v>View</v>
      </c>
    </row>
    <row r="546" spans="1:21" ht="30.6">
      <c r="A546" s="6">
        <v>43426.527962962966</v>
      </c>
      <c r="B546" s="7" t="str">
        <f>HYPERLINK("https://twitter.com/rosamariaartal","@rosamariaartal")</f>
        <v>@rosamariaartal</v>
      </c>
      <c r="C546" s="8" t="s">
        <v>3264</v>
      </c>
      <c r="D546" s="9" t="s">
        <v>3573</v>
      </c>
      <c r="E546" s="10" t="str">
        <f>HYPERLINK("https://twitter.com/rosamariaartal/status/1065706552894599168","1065706552894599168")</f>
        <v>1065706552894599168</v>
      </c>
      <c r="F546" s="14" t="s">
        <v>1219</v>
      </c>
      <c r="G546" s="11"/>
      <c r="H546" s="11"/>
      <c r="I546" s="12">
        <v>341</v>
      </c>
      <c r="J546" s="12">
        <v>571</v>
      </c>
      <c r="K546" s="13" t="str">
        <f t="shared" ref="K546:K548" si="117">HYPERLINK("http://twitter.com","Twitter Web Client")</f>
        <v>Twitter Web Client</v>
      </c>
      <c r="L546" s="12">
        <v>103732</v>
      </c>
      <c r="M546" s="12">
        <v>3006</v>
      </c>
      <c r="N546" s="12">
        <v>2702</v>
      </c>
      <c r="O546" s="15"/>
      <c r="P546" s="6">
        <v>40094.444687499999</v>
      </c>
      <c r="Q546" s="16" t="s">
        <v>886</v>
      </c>
      <c r="R546" s="17" t="s">
        <v>3266</v>
      </c>
      <c r="S546" s="14" t="s">
        <v>3267</v>
      </c>
      <c r="T546" s="11"/>
      <c r="U546" s="10" t="str">
        <f>HYPERLINK("https://pbs.twimg.com/profile_images/780888265238974464/fOR4WuD5.jpg","View")</f>
        <v>View</v>
      </c>
    </row>
    <row r="547" spans="1:21" ht="40.799999999999997">
      <c r="A547" s="6">
        <v>43426.527766203704</v>
      </c>
      <c r="B547" s="7" t="str">
        <f>HYPERLINK("https://twitter.com/lmpg_twi","@lmpg_twi")</f>
        <v>@lmpg_twi</v>
      </c>
      <c r="C547" s="8" t="s">
        <v>3579</v>
      </c>
      <c r="D547" s="9" t="s">
        <v>768</v>
      </c>
      <c r="E547" s="10" t="str">
        <f>HYPERLINK("https://twitter.com/lmpg_twi/status/1065706480630988802","1065706480630988802")</f>
        <v>1065706480630988802</v>
      </c>
      <c r="F547" s="14" t="s">
        <v>529</v>
      </c>
      <c r="G547" s="11"/>
      <c r="H547" s="11"/>
      <c r="I547" s="12">
        <v>0</v>
      </c>
      <c r="J547" s="12">
        <v>0</v>
      </c>
      <c r="K547" s="13" t="str">
        <f t="shared" si="117"/>
        <v>Twitter Web Client</v>
      </c>
      <c r="L547" s="12">
        <v>1378</v>
      </c>
      <c r="M547" s="12">
        <v>1572</v>
      </c>
      <c r="N547" s="12">
        <v>34</v>
      </c>
      <c r="O547" s="15"/>
      <c r="P547" s="6">
        <v>41302.1403587963</v>
      </c>
      <c r="Q547" s="11"/>
      <c r="R547" s="17" t="s">
        <v>3586</v>
      </c>
      <c r="S547" s="11"/>
      <c r="T547" s="11"/>
      <c r="U547" s="10" t="str">
        <f>HYPERLINK("https://pbs.twimg.com/profile_images/1053347907557040128/iLK9NvB8.jpg","View")</f>
        <v>View</v>
      </c>
    </row>
    <row r="548" spans="1:21" ht="40.799999999999997">
      <c r="A548" s="6">
        <v>43426.527442129634</v>
      </c>
      <c r="B548" s="7" t="str">
        <f>HYPERLINK("https://twitter.com/sergioviciusval","@sergioviciusval")</f>
        <v>@sergioviciusval</v>
      </c>
      <c r="C548" s="8" t="s">
        <v>1377</v>
      </c>
      <c r="D548" s="9" t="s">
        <v>1378</v>
      </c>
      <c r="E548" s="10" t="str">
        <f>HYPERLINK("https://twitter.com/sergioviciusval/status/1065706364557766656","1065706364557766656")</f>
        <v>1065706364557766656</v>
      </c>
      <c r="F548" s="14" t="s">
        <v>529</v>
      </c>
      <c r="G548" s="11"/>
      <c r="H548" s="11"/>
      <c r="I548" s="12">
        <v>1</v>
      </c>
      <c r="J548" s="12">
        <v>0</v>
      </c>
      <c r="K548" s="13" t="str">
        <f t="shared" si="117"/>
        <v>Twitter Web Client</v>
      </c>
      <c r="L548" s="12">
        <v>174</v>
      </c>
      <c r="M548" s="12">
        <v>351</v>
      </c>
      <c r="N548" s="12">
        <v>1</v>
      </c>
      <c r="O548" s="15"/>
      <c r="P548" s="6">
        <v>42744.424016203702</v>
      </c>
      <c r="Q548" s="11"/>
      <c r="R548" s="17" t="s">
        <v>1381</v>
      </c>
      <c r="S548" s="11"/>
      <c r="T548" s="11"/>
      <c r="U548" s="10" t="str">
        <f>HYPERLINK("https://pbs.twimg.com/profile_images/1027173912457752576/wjZ7BLwD.jpg","View")</f>
        <v>View</v>
      </c>
    </row>
    <row r="549" spans="1:21" ht="40.799999999999997">
      <c r="A549" s="6">
        <v>43426.527233796296</v>
      </c>
      <c r="B549" s="7" t="str">
        <f>HYPERLINK("https://twitter.com/antonovas","@antonovas")</f>
        <v>@antonovas</v>
      </c>
      <c r="C549" s="8" t="s">
        <v>897</v>
      </c>
      <c r="D549" s="9" t="s">
        <v>1385</v>
      </c>
      <c r="E549" s="10" t="str">
        <f>HYPERLINK("https://twitter.com/antonovas/status/1065706285591666688","1065706285591666688")</f>
        <v>1065706285591666688</v>
      </c>
      <c r="F549" s="14" t="s">
        <v>1386</v>
      </c>
      <c r="G549" s="14" t="s">
        <v>1387</v>
      </c>
      <c r="H549" s="11"/>
      <c r="I549" s="12">
        <v>0</v>
      </c>
      <c r="J549" s="12">
        <v>0</v>
      </c>
      <c r="K549" s="13" t="str">
        <f>HYPERLINK("http://twitter.com/#!/download/ipad","Twitter for iPad")</f>
        <v>Twitter for iPad</v>
      </c>
      <c r="L549" s="12">
        <v>3931</v>
      </c>
      <c r="M549" s="12">
        <v>3218</v>
      </c>
      <c r="N549" s="12">
        <v>124</v>
      </c>
      <c r="O549" s="15"/>
      <c r="P549" s="6">
        <v>40032.396886574075</v>
      </c>
      <c r="Q549" s="16" t="s">
        <v>903</v>
      </c>
      <c r="R549" s="17" t="s">
        <v>904</v>
      </c>
      <c r="S549" s="14" t="s">
        <v>905</v>
      </c>
      <c r="T549" s="11"/>
      <c r="U549" s="10" t="str">
        <f>HYPERLINK("https://pbs.twimg.com/profile_images/1035268788634173446/caBYhraI.jpg","View")</f>
        <v>View</v>
      </c>
    </row>
    <row r="550" spans="1:21" ht="40.799999999999997">
      <c r="A550" s="6">
        <v>43426.527129629627</v>
      </c>
      <c r="B550" s="7" t="str">
        <f>HYPERLINK("https://twitter.com/MosaicoMercurio","@MosaicoMercurio")</f>
        <v>@MosaicoMercurio</v>
      </c>
      <c r="C550" s="8" t="s">
        <v>3600</v>
      </c>
      <c r="D550" s="9" t="s">
        <v>3601</v>
      </c>
      <c r="E550" s="10" t="str">
        <f>HYPERLINK("https://twitter.com/MosaicoMercurio/status/1065706251672264704","1065706251672264704")</f>
        <v>1065706251672264704</v>
      </c>
      <c r="F550" s="14" t="s">
        <v>3087</v>
      </c>
      <c r="G550" s="11"/>
      <c r="H550" s="11"/>
      <c r="I550" s="12">
        <v>0</v>
      </c>
      <c r="J550" s="12">
        <v>0</v>
      </c>
      <c r="K550" s="13" t="str">
        <f>HYPERLINK("http://www.facebook.com/twitter","Facebook")</f>
        <v>Facebook</v>
      </c>
      <c r="L550" s="12">
        <v>1684</v>
      </c>
      <c r="M550" s="12">
        <v>4995</v>
      </c>
      <c r="N550" s="12">
        <v>149</v>
      </c>
      <c r="O550" s="15"/>
      <c r="P550" s="6">
        <v>40226.418425925927</v>
      </c>
      <c r="Q550" s="16" t="s">
        <v>38</v>
      </c>
      <c r="R550" s="20" t="s">
        <v>3605</v>
      </c>
      <c r="S550" s="14" t="s">
        <v>3606</v>
      </c>
      <c r="T550" s="11"/>
      <c r="U550" s="10" t="str">
        <f>HYPERLINK("https://pbs.twimg.com/profile_images/1583700439/LOGO2_cuadrado_422x422_.jpg","View")</f>
        <v>View</v>
      </c>
    </row>
    <row r="551" spans="1:21" ht="20.399999999999999">
      <c r="A551" s="6">
        <v>43426.526724537034</v>
      </c>
      <c r="B551" s="7" t="str">
        <f>HYPERLINK("https://twitter.com/ZHAINOX","@ZHAINOX")</f>
        <v>@ZHAINOX</v>
      </c>
      <c r="C551" s="8" t="s">
        <v>3609</v>
      </c>
      <c r="D551" s="9" t="s">
        <v>3610</v>
      </c>
      <c r="E551" s="10" t="str">
        <f>HYPERLINK("https://twitter.com/ZHAINOX/status/1065706101176483840","1065706101176483840")</f>
        <v>1065706101176483840</v>
      </c>
      <c r="F551" s="11"/>
      <c r="G551" s="11"/>
      <c r="H551" s="11"/>
      <c r="I551" s="12">
        <v>1</v>
      </c>
      <c r="J551" s="12">
        <v>1</v>
      </c>
      <c r="K551" s="13" t="str">
        <f t="shared" ref="K551:K553" si="118">HYPERLINK("http://twitter.com","Twitter Web Client")</f>
        <v>Twitter Web Client</v>
      </c>
      <c r="L551" s="12">
        <v>2081</v>
      </c>
      <c r="M551" s="12">
        <v>1972</v>
      </c>
      <c r="N551" s="12">
        <v>50</v>
      </c>
      <c r="O551" s="15"/>
      <c r="P551" s="6">
        <v>40000.350497685184</v>
      </c>
      <c r="Q551" s="16" t="s">
        <v>3613</v>
      </c>
      <c r="R551" s="17" t="s">
        <v>3615</v>
      </c>
      <c r="S551" s="11"/>
      <c r="T551" s="11"/>
      <c r="U551" s="10" t="str">
        <f>HYPERLINK("https://pbs.twimg.com/profile_images/1014938795114889217/TzX52BEk.jpg","View")</f>
        <v>View</v>
      </c>
    </row>
    <row r="552" spans="1:21" ht="40.799999999999997">
      <c r="A552" s="6">
        <v>43426.525648148148</v>
      </c>
      <c r="B552" s="7" t="str">
        <f>HYPERLINK("https://twitter.com/18921981","@18921981")</f>
        <v>@18921981</v>
      </c>
      <c r="C552" s="8" t="s">
        <v>3616</v>
      </c>
      <c r="D552" s="9" t="s">
        <v>3617</v>
      </c>
      <c r="E552" s="10" t="str">
        <f>HYPERLINK("https://twitter.com/18921981/status/1065705713715109889","1065705713715109889")</f>
        <v>1065705713715109889</v>
      </c>
      <c r="F552" s="14" t="s">
        <v>3620</v>
      </c>
      <c r="G552" s="11"/>
      <c r="H552" s="11"/>
      <c r="I552" s="12">
        <v>0</v>
      </c>
      <c r="J552" s="12">
        <v>0</v>
      </c>
      <c r="K552" s="13" t="str">
        <f t="shared" si="118"/>
        <v>Twitter Web Client</v>
      </c>
      <c r="L552" s="12">
        <v>267</v>
      </c>
      <c r="M552" s="12">
        <v>194</v>
      </c>
      <c r="N552" s="12">
        <v>5</v>
      </c>
      <c r="O552" s="15"/>
      <c r="P552" s="6">
        <v>41345.453333333331</v>
      </c>
      <c r="Q552" s="11"/>
      <c r="R552" s="17" t="s">
        <v>3623</v>
      </c>
      <c r="S552" s="11"/>
      <c r="T552" s="11"/>
      <c r="U552" s="10" t="str">
        <f>HYPERLINK("https://pbs.twimg.com/profile_images/872051643130556419/5PEVvB0_.jpg","View")</f>
        <v>View</v>
      </c>
    </row>
    <row r="553" spans="1:21" ht="30.6">
      <c r="A553" s="6">
        <v>43426.523773148147</v>
      </c>
      <c r="B553" s="7" t="str">
        <f>HYPERLINK("https://twitter.com/Javier_Diego","@Javier_Diego")</f>
        <v>@Javier_Diego</v>
      </c>
      <c r="C553" s="8" t="s">
        <v>1393</v>
      </c>
      <c r="D553" s="9" t="s">
        <v>1394</v>
      </c>
      <c r="E553" s="10" t="str">
        <f>HYPERLINK("https://twitter.com/Javier_Diego/status/1065705034132918272","1065705034132918272")</f>
        <v>1065705034132918272</v>
      </c>
      <c r="F553" s="14" t="s">
        <v>1397</v>
      </c>
      <c r="G553" s="11"/>
      <c r="H553" s="11"/>
      <c r="I553" s="12">
        <v>0</v>
      </c>
      <c r="J553" s="12">
        <v>0</v>
      </c>
      <c r="K553" s="13" t="str">
        <f t="shared" si="118"/>
        <v>Twitter Web Client</v>
      </c>
      <c r="L553" s="12">
        <v>1517</v>
      </c>
      <c r="M553" s="12">
        <v>2351</v>
      </c>
      <c r="N553" s="12">
        <v>69</v>
      </c>
      <c r="O553" s="15"/>
      <c r="P553" s="6">
        <v>40256.488611111112</v>
      </c>
      <c r="Q553" s="11"/>
      <c r="R553" s="17" t="s">
        <v>1399</v>
      </c>
      <c r="S553" s="11"/>
      <c r="T553" s="11"/>
      <c r="U553" s="10" t="str">
        <f>HYPERLINK("https://pbs.twimg.com/profile_images/912668751161692160/8k-oFK2z.jpg","View")</f>
        <v>View</v>
      </c>
    </row>
    <row r="554" spans="1:21" ht="40.799999999999997">
      <c r="A554" s="6">
        <v>43426.523101851853</v>
      </c>
      <c r="B554" s="7" t="str">
        <f>HYPERLINK("https://twitter.com/Gara9951Rgg","@Gara9951Rgg")</f>
        <v>@Gara9951Rgg</v>
      </c>
      <c r="C554" s="8" t="s">
        <v>1402</v>
      </c>
      <c r="D554" s="9" t="s">
        <v>1403</v>
      </c>
      <c r="E554" s="10" t="str">
        <f>HYPERLINK("https://twitter.com/Gara9951Rgg/status/1065704790225756161","1065704790225756161")</f>
        <v>1065704790225756161</v>
      </c>
      <c r="F554" s="11"/>
      <c r="G554" s="14" t="s">
        <v>1404</v>
      </c>
      <c r="H554" s="11"/>
      <c r="I554" s="12">
        <v>1</v>
      </c>
      <c r="J554" s="12">
        <v>1</v>
      </c>
      <c r="K554" s="13" t="str">
        <f>HYPERLINK("http://twitter.com/download/android","Twitter for Android")</f>
        <v>Twitter for Android</v>
      </c>
      <c r="L554" s="12">
        <v>1459</v>
      </c>
      <c r="M554" s="12">
        <v>1932</v>
      </c>
      <c r="N554" s="12">
        <v>68</v>
      </c>
      <c r="O554" s="15"/>
      <c r="P554" s="6">
        <v>41170.267060185186</v>
      </c>
      <c r="Q554" s="16" t="s">
        <v>1405</v>
      </c>
      <c r="R554" s="17" t="s">
        <v>1406</v>
      </c>
      <c r="S554" s="11"/>
      <c r="T554" s="11"/>
      <c r="U554" s="10" t="str">
        <f>HYPERLINK("https://pbs.twimg.com/profile_images/1055038168553189376/UDCKkhxG.jpg","View")</f>
        <v>View</v>
      </c>
    </row>
    <row r="555" spans="1:21" ht="51">
      <c r="A555" s="6">
        <v>43426.522488425922</v>
      </c>
      <c r="B555" s="7" t="str">
        <f>HYPERLINK("https://twitter.com/ValoresEuropeos","@ValoresEuropeos")</f>
        <v>@ValoresEuropeos</v>
      </c>
      <c r="C555" s="8" t="s">
        <v>1408</v>
      </c>
      <c r="D555" s="9" t="s">
        <v>1409</v>
      </c>
      <c r="E555" s="10" t="str">
        <f>HYPERLINK("https://twitter.com/ValoresEuropeos/status/1065704569747980288","1065704569747980288")</f>
        <v>1065704569747980288</v>
      </c>
      <c r="F555" s="14" t="s">
        <v>96</v>
      </c>
      <c r="G555" s="11"/>
      <c r="H555" s="11"/>
      <c r="I555" s="12">
        <v>0</v>
      </c>
      <c r="J555" s="12">
        <v>0</v>
      </c>
      <c r="K555" s="13" t="str">
        <f>HYPERLINK("http://twitter.com/download/iphone","Twitter for iPhone")</f>
        <v>Twitter for iPhone</v>
      </c>
      <c r="L555" s="12">
        <v>7</v>
      </c>
      <c r="M555" s="12">
        <v>33</v>
      </c>
      <c r="N555" s="12">
        <v>0</v>
      </c>
      <c r="O555" s="15"/>
      <c r="P555" s="6">
        <v>43007.374097222222</v>
      </c>
      <c r="Q555" s="16" t="s">
        <v>805</v>
      </c>
      <c r="R555" s="19"/>
      <c r="S555" s="11"/>
      <c r="T555" s="11"/>
      <c r="U555" s="10" t="str">
        <f>HYPERLINK("https://pbs.twimg.com/profile_images/921469800609611777/IalfOpzZ.jpg","View")</f>
        <v>View</v>
      </c>
    </row>
    <row r="556" spans="1:21" ht="20.399999999999999">
      <c r="A556" s="6">
        <v>43426.521840277783</v>
      </c>
      <c r="B556" s="7" t="str">
        <f>HYPERLINK("https://twitter.com/marialznn","@marialznn")</f>
        <v>@marialznn</v>
      </c>
      <c r="C556" s="8" t="s">
        <v>3633</v>
      </c>
      <c r="D556" s="9" t="s">
        <v>3634</v>
      </c>
      <c r="E556" s="10" t="str">
        <f>HYPERLINK("https://twitter.com/marialznn/status/1065704334741200896","1065704334741200896")</f>
        <v>1065704334741200896</v>
      </c>
      <c r="F556" s="11"/>
      <c r="G556" s="11"/>
      <c r="H556" s="11"/>
      <c r="I556" s="12">
        <v>0</v>
      </c>
      <c r="J556" s="12">
        <v>0</v>
      </c>
      <c r="K556" s="13" t="str">
        <f>HYPERLINK("http://twitter.com/download/android","Twitter for Android")</f>
        <v>Twitter for Android</v>
      </c>
      <c r="L556" s="12">
        <v>180</v>
      </c>
      <c r="M556" s="12">
        <v>163</v>
      </c>
      <c r="N556" s="12">
        <v>0</v>
      </c>
      <c r="O556" s="15"/>
      <c r="P556" s="6">
        <v>43261.370462962965</v>
      </c>
      <c r="Q556" s="16" t="s">
        <v>3637</v>
      </c>
      <c r="R556" s="19"/>
      <c r="S556" s="14" t="s">
        <v>3638</v>
      </c>
      <c r="T556" s="11"/>
      <c r="U556" s="10" t="str">
        <f>HYPERLINK("https://pbs.twimg.com/profile_images/1061023097090908160/1_BeJRtf.jpg","View")</f>
        <v>View</v>
      </c>
    </row>
    <row r="557" spans="1:21" ht="20.399999999999999">
      <c r="A557" s="6">
        <v>43426.520833333328</v>
      </c>
      <c r="B557" s="7" t="str">
        <f>HYPERLINK("https://twitter.com/elpais_opinion","@elpais_opinion")</f>
        <v>@elpais_opinion</v>
      </c>
      <c r="C557" s="8" t="s">
        <v>2492</v>
      </c>
      <c r="D557" s="9" t="s">
        <v>3640</v>
      </c>
      <c r="E557" s="10" t="str">
        <f>HYPERLINK("https://twitter.com/elpais_opinion/status/1065703967638908929","1065703967638908929")</f>
        <v>1065703967638908929</v>
      </c>
      <c r="F557" s="14" t="s">
        <v>3649</v>
      </c>
      <c r="G557" s="11"/>
      <c r="H557" s="11"/>
      <c r="I557" s="12">
        <v>16</v>
      </c>
      <c r="J557" s="12">
        <v>33</v>
      </c>
      <c r="K557" s="13" t="str">
        <f>HYPERLINK("https://about.twitter.com/products/tweetdeck","TweetDeck")</f>
        <v>TweetDeck</v>
      </c>
      <c r="L557" s="12">
        <v>15843</v>
      </c>
      <c r="M557" s="12">
        <v>502</v>
      </c>
      <c r="N557" s="12">
        <v>310</v>
      </c>
      <c r="O557" s="18" t="s">
        <v>52</v>
      </c>
      <c r="P557" s="6">
        <v>42079.41909722222</v>
      </c>
      <c r="Q557" s="11"/>
      <c r="R557" s="17" t="s">
        <v>2497</v>
      </c>
      <c r="S557" s="14" t="s">
        <v>2498</v>
      </c>
      <c r="T557" s="11"/>
      <c r="U557" s="10" t="str">
        <f>HYPERLINK("https://pbs.twimg.com/profile_images/917338666107842560/vKH6bCcF.jpg","View")</f>
        <v>View</v>
      </c>
    </row>
    <row r="558" spans="1:21" ht="30.6">
      <c r="A558" s="6">
        <v>43426.518750000003</v>
      </c>
      <c r="B558" s="7" t="str">
        <f>HYPERLINK("https://twitter.com/J_ParraG","@J_ParraG")</f>
        <v>@J_ParraG</v>
      </c>
      <c r="C558" s="8" t="s">
        <v>3654</v>
      </c>
      <c r="D558" s="9" t="s">
        <v>3655</v>
      </c>
      <c r="E558" s="10" t="str">
        <f>HYPERLINK("https://twitter.com/J_ParraG/status/1065703212014084097","1065703212014084097")</f>
        <v>1065703212014084097</v>
      </c>
      <c r="F558" s="14" t="s">
        <v>1316</v>
      </c>
      <c r="G558" s="11"/>
      <c r="H558" s="11"/>
      <c r="I558" s="12">
        <v>0</v>
      </c>
      <c r="J558" s="12">
        <v>0</v>
      </c>
      <c r="K558" s="13" t="str">
        <f t="shared" ref="K558:K559" si="119">HYPERLINK("http://twitter.com/download/android","Twitter for Android")</f>
        <v>Twitter for Android</v>
      </c>
      <c r="L558" s="12">
        <v>380</v>
      </c>
      <c r="M558" s="12">
        <v>967</v>
      </c>
      <c r="N558" s="12">
        <v>14</v>
      </c>
      <c r="O558" s="15"/>
      <c r="P558" s="6">
        <v>40918.578576388885</v>
      </c>
      <c r="Q558" s="16" t="s">
        <v>3658</v>
      </c>
      <c r="R558" s="17" t="s">
        <v>3659</v>
      </c>
      <c r="S558" s="11"/>
      <c r="T558" s="11"/>
      <c r="U558" s="10" t="str">
        <f>HYPERLINK("https://pbs.twimg.com/profile_images/1048291555134656513/KPn63Fw4.jpg","View")</f>
        <v>View</v>
      </c>
    </row>
    <row r="559" spans="1:21" ht="51">
      <c r="A559" s="6">
        <v>43426.518252314811</v>
      </c>
      <c r="B559" s="7" t="str">
        <f>HYPERLINK("https://twitter.com/vox_cartagena","@vox_cartagena")</f>
        <v>@vox_cartagena</v>
      </c>
      <c r="C559" s="8" t="s">
        <v>1412</v>
      </c>
      <c r="D559" s="9" t="s">
        <v>1413</v>
      </c>
      <c r="E559" s="10" t="str">
        <f>HYPERLINK("https://twitter.com/vox_cartagena/status/1065703033491910657","1065703033491910657")</f>
        <v>1065703033491910657</v>
      </c>
      <c r="F559" s="14" t="s">
        <v>96</v>
      </c>
      <c r="G559" s="11"/>
      <c r="H559" s="11"/>
      <c r="I559" s="12">
        <v>19</v>
      </c>
      <c r="J559" s="12">
        <v>23</v>
      </c>
      <c r="K559" s="13" t="str">
        <f t="shared" si="119"/>
        <v>Twitter for Android</v>
      </c>
      <c r="L559" s="12">
        <v>1511</v>
      </c>
      <c r="M559" s="12">
        <v>519</v>
      </c>
      <c r="N559" s="12">
        <v>22</v>
      </c>
      <c r="O559" s="15"/>
      <c r="P559" s="6">
        <v>41716.513379629629</v>
      </c>
      <c r="Q559" s="16" t="s">
        <v>1417</v>
      </c>
      <c r="R559" s="17" t="s">
        <v>1418</v>
      </c>
      <c r="S559" s="14" t="s">
        <v>1419</v>
      </c>
      <c r="T559" s="11"/>
      <c r="U559" s="10" t="str">
        <f>HYPERLINK("https://pbs.twimg.com/profile_images/976938838806421506/4Xv0sCeD.jpg","View")</f>
        <v>View</v>
      </c>
    </row>
    <row r="560" spans="1:21" ht="71.400000000000006">
      <c r="A560" s="6">
        <v>43426.517361111109</v>
      </c>
      <c r="B560" s="7" t="str">
        <f>HYPERLINK("https://twitter.com/juanarza","@juanarza")</f>
        <v>@juanarza</v>
      </c>
      <c r="C560" s="8" t="s">
        <v>1427</v>
      </c>
      <c r="D560" s="9" t="s">
        <v>1428</v>
      </c>
      <c r="E560" s="10" t="str">
        <f>HYPERLINK("https://twitter.com/juanarza/status/1065702711826493440","1065702711826493440")</f>
        <v>1065702711826493440</v>
      </c>
      <c r="F560" s="16" t="s">
        <v>1429</v>
      </c>
      <c r="G560" s="14" t="s">
        <v>1431</v>
      </c>
      <c r="H560" s="11"/>
      <c r="I560" s="12">
        <v>0</v>
      </c>
      <c r="J560" s="12">
        <v>2</v>
      </c>
      <c r="K560" s="13" t="str">
        <f>HYPERLINK("http://twitter.com/download/iphone","Twitter for iPhone")</f>
        <v>Twitter for iPhone</v>
      </c>
      <c r="L560" s="12">
        <v>9472</v>
      </c>
      <c r="M560" s="12">
        <v>903</v>
      </c>
      <c r="N560" s="12">
        <v>120</v>
      </c>
      <c r="O560" s="15"/>
      <c r="P560" s="6">
        <v>40382.141608796301</v>
      </c>
      <c r="Q560" s="16" t="s">
        <v>1432</v>
      </c>
      <c r="R560" s="17" t="s">
        <v>1433</v>
      </c>
      <c r="S560" s="11"/>
      <c r="T560" s="11"/>
      <c r="U560" s="10" t="str">
        <f>HYPERLINK("https://pbs.twimg.com/profile_images/973287202686980096/FgeEsX3G.jpg","View")</f>
        <v>View</v>
      </c>
    </row>
    <row r="561" spans="1:21" ht="112.2">
      <c r="A561" s="6">
        <v>43426.516851851848</v>
      </c>
      <c r="B561" s="7" t="str">
        <f>HYPERLINK("https://twitter.com/EKike1872","@EKike1872")</f>
        <v>@EKike1872</v>
      </c>
      <c r="C561" s="8" t="s">
        <v>1341</v>
      </c>
      <c r="D561" s="9" t="s">
        <v>1439</v>
      </c>
      <c r="E561" s="10" t="str">
        <f>HYPERLINK("https://twitter.com/EKike1872/status/1065702526434123778","1065702526434123778")</f>
        <v>1065702526434123778</v>
      </c>
      <c r="F561" s="14" t="s">
        <v>1440</v>
      </c>
      <c r="G561" s="11"/>
      <c r="H561" s="11"/>
      <c r="I561" s="12">
        <v>0</v>
      </c>
      <c r="J561" s="12">
        <v>0</v>
      </c>
      <c r="K561" s="13" t="str">
        <f t="shared" ref="K561:K563" si="120">HYPERLINK("http://twitter.com","Twitter Web Client")</f>
        <v>Twitter Web Client</v>
      </c>
      <c r="L561" s="12">
        <v>1302</v>
      </c>
      <c r="M561" s="12">
        <v>2195</v>
      </c>
      <c r="N561" s="12">
        <v>12</v>
      </c>
      <c r="O561" s="15"/>
      <c r="P561" s="6">
        <v>40783.65011574074</v>
      </c>
      <c r="Q561" s="11"/>
      <c r="R561" s="17" t="s">
        <v>1345</v>
      </c>
      <c r="S561" s="11"/>
      <c r="T561" s="11"/>
      <c r="U561" s="10" t="str">
        <f>HYPERLINK("https://pbs.twimg.com/profile_images/576413207302111233/S_Ub-4ZB.jpeg","View")</f>
        <v>View</v>
      </c>
    </row>
    <row r="562" spans="1:21" ht="20.399999999999999">
      <c r="A562" s="6">
        <v>43426.515081018515</v>
      </c>
      <c r="B562" s="7" t="str">
        <f t="shared" ref="B562:B563" si="121">HYPERLINK("https://twitter.com/JoseAMarcello","@JoseAMarcello")</f>
        <v>@JoseAMarcello</v>
      </c>
      <c r="C562" s="8" t="s">
        <v>3668</v>
      </c>
      <c r="D562" s="9" t="s">
        <v>3669</v>
      </c>
      <c r="E562" s="10" t="str">
        <f>HYPERLINK("https://twitter.com/JoseAMarcello/status/1065701882092548099","1065701882092548099")</f>
        <v>1065701882092548099</v>
      </c>
      <c r="F562" s="14" t="s">
        <v>3672</v>
      </c>
      <c r="G562" s="11"/>
      <c r="H562" s="11"/>
      <c r="I562" s="12">
        <v>0</v>
      </c>
      <c r="J562" s="12">
        <v>0</v>
      </c>
      <c r="K562" s="13" t="str">
        <f t="shared" si="120"/>
        <v>Twitter Web Client</v>
      </c>
      <c r="L562" s="12">
        <v>928</v>
      </c>
      <c r="M562" s="12">
        <v>1542</v>
      </c>
      <c r="N562" s="12">
        <v>11</v>
      </c>
      <c r="O562" s="15"/>
      <c r="P562" s="6">
        <v>40909.305405092593</v>
      </c>
      <c r="Q562" s="16" t="s">
        <v>28</v>
      </c>
      <c r="R562" s="17" t="s">
        <v>3673</v>
      </c>
      <c r="S562" s="11"/>
      <c r="T562" s="11"/>
      <c r="U562" s="10" t="str">
        <f t="shared" ref="U562:U563" si="122">HYPERLINK("https://pbs.twimg.com/profile_images/1054466224623706112/hXTdLWGf.jpg","View")</f>
        <v>View</v>
      </c>
    </row>
    <row r="563" spans="1:21" ht="20.399999999999999">
      <c r="A563" s="6">
        <v>43426.510335648149</v>
      </c>
      <c r="B563" s="7" t="str">
        <f t="shared" si="121"/>
        <v>@JoseAMarcello</v>
      </c>
      <c r="C563" s="8" t="s">
        <v>3668</v>
      </c>
      <c r="D563" s="9" t="s">
        <v>3674</v>
      </c>
      <c r="E563" s="10" t="str">
        <f>HYPERLINK("https://twitter.com/JoseAMarcello/status/1065700163795263488","1065700163795263488")</f>
        <v>1065700163795263488</v>
      </c>
      <c r="F563" s="14" t="s">
        <v>3675</v>
      </c>
      <c r="G563" s="11"/>
      <c r="H563" s="11"/>
      <c r="I563" s="12">
        <v>0</v>
      </c>
      <c r="J563" s="12">
        <v>0</v>
      </c>
      <c r="K563" s="13" t="str">
        <f t="shared" si="120"/>
        <v>Twitter Web Client</v>
      </c>
      <c r="L563" s="12">
        <v>928</v>
      </c>
      <c r="M563" s="12">
        <v>1542</v>
      </c>
      <c r="N563" s="12">
        <v>11</v>
      </c>
      <c r="O563" s="15"/>
      <c r="P563" s="6">
        <v>40909.305405092593</v>
      </c>
      <c r="Q563" s="16" t="s">
        <v>28</v>
      </c>
      <c r="R563" s="17" t="s">
        <v>3673</v>
      </c>
      <c r="S563" s="11"/>
      <c r="T563" s="11"/>
      <c r="U563" s="10" t="str">
        <f t="shared" si="122"/>
        <v>View</v>
      </c>
    </row>
    <row r="564" spans="1:21" ht="40.799999999999997">
      <c r="A564" s="6">
        <v>43426.505150462966</v>
      </c>
      <c r="B564" s="7" t="str">
        <f>HYPERLINK("https://twitter.com/Hatshepsut1976","@Hatshepsut1976")</f>
        <v>@Hatshepsut1976</v>
      </c>
      <c r="C564" s="8" t="s">
        <v>1444</v>
      </c>
      <c r="D564" s="9" t="s">
        <v>1445</v>
      </c>
      <c r="E564" s="10" t="str">
        <f>HYPERLINK("https://twitter.com/Hatshepsut1976/status/1065698285887909888","1065698285887909888")</f>
        <v>1065698285887909888</v>
      </c>
      <c r="F564" s="11"/>
      <c r="G564" s="11"/>
      <c r="H564" s="11"/>
      <c r="I564" s="12">
        <v>0</v>
      </c>
      <c r="J564" s="12">
        <v>1</v>
      </c>
      <c r="K564" s="13" t="str">
        <f>HYPERLINK("http://twitter.com/download/iphone","Twitter for iPhone")</f>
        <v>Twitter for iPhone</v>
      </c>
      <c r="L564" s="12">
        <v>1056</v>
      </c>
      <c r="M564" s="12">
        <v>1299</v>
      </c>
      <c r="N564" s="12">
        <v>98</v>
      </c>
      <c r="O564" s="15"/>
      <c r="P564" s="6">
        <v>40261.505856481483</v>
      </c>
      <c r="Q564" s="16" t="s">
        <v>38</v>
      </c>
      <c r="R564" s="17" t="s">
        <v>1446</v>
      </c>
      <c r="S564" s="14" t="s">
        <v>1447</v>
      </c>
      <c r="T564" s="11"/>
      <c r="U564" s="10" t="str">
        <f>HYPERLINK("https://pbs.twimg.com/profile_images/929361584161423361/92AIa_qp.jpg","View")</f>
        <v>View</v>
      </c>
    </row>
    <row r="565" spans="1:21" ht="20.399999999999999">
      <c r="A565" s="6">
        <v>43426.502106481479</v>
      </c>
      <c r="B565" s="7" t="str">
        <f>HYPERLINK("https://twitter.com/JoseAMarcello","@JoseAMarcello")</f>
        <v>@JoseAMarcello</v>
      </c>
      <c r="C565" s="8" t="s">
        <v>3668</v>
      </c>
      <c r="D565" s="9" t="s">
        <v>3684</v>
      </c>
      <c r="E565" s="10" t="str">
        <f>HYPERLINK("https://twitter.com/JoseAMarcello/status/1065697182404218881","1065697182404218881")</f>
        <v>1065697182404218881</v>
      </c>
      <c r="F565" s="14" t="s">
        <v>3686</v>
      </c>
      <c r="G565" s="11"/>
      <c r="H565" s="11"/>
      <c r="I565" s="12">
        <v>0</v>
      </c>
      <c r="J565" s="12">
        <v>0</v>
      </c>
      <c r="K565" s="13" t="str">
        <f t="shared" ref="K565:K568" si="123">HYPERLINK("http://twitter.com","Twitter Web Client")</f>
        <v>Twitter Web Client</v>
      </c>
      <c r="L565" s="12">
        <v>928</v>
      </c>
      <c r="M565" s="12">
        <v>1542</v>
      </c>
      <c r="N565" s="12">
        <v>11</v>
      </c>
      <c r="O565" s="15"/>
      <c r="P565" s="6">
        <v>40909.305405092593</v>
      </c>
      <c r="Q565" s="16" t="s">
        <v>28</v>
      </c>
      <c r="R565" s="17" t="s">
        <v>3673</v>
      </c>
      <c r="S565" s="11"/>
      <c r="T565" s="11"/>
      <c r="U565" s="10" t="str">
        <f>HYPERLINK("https://pbs.twimg.com/profile_images/1054466224623706112/hXTdLWGf.jpg","View")</f>
        <v>View</v>
      </c>
    </row>
    <row r="566" spans="1:21" ht="30.6">
      <c r="A566" s="6">
        <v>43426.497303240743</v>
      </c>
      <c r="B566" s="7" t="str">
        <f>HYPERLINK("https://twitter.com/MarioNoyaM","@MarioNoyaM")</f>
        <v>@MarioNoyaM</v>
      </c>
      <c r="C566" s="8" t="s">
        <v>1448</v>
      </c>
      <c r="D566" s="9" t="s">
        <v>1449</v>
      </c>
      <c r="E566" s="10" t="str">
        <f>HYPERLINK("https://twitter.com/MarioNoyaM/status/1065695442875371521","1065695442875371521")</f>
        <v>1065695442875371521</v>
      </c>
      <c r="F566" s="11"/>
      <c r="G566" s="14" t="s">
        <v>1450</v>
      </c>
      <c r="H566" s="11"/>
      <c r="I566" s="12">
        <v>60</v>
      </c>
      <c r="J566" s="12">
        <v>78</v>
      </c>
      <c r="K566" s="13" t="str">
        <f t="shared" si="123"/>
        <v>Twitter Web Client</v>
      </c>
      <c r="L566" s="12">
        <v>17103</v>
      </c>
      <c r="M566" s="12">
        <v>582</v>
      </c>
      <c r="N566" s="12">
        <v>408</v>
      </c>
      <c r="O566" s="15"/>
      <c r="P566" s="6">
        <v>40315.160416666666</v>
      </c>
      <c r="Q566" s="11"/>
      <c r="R566" s="17" t="s">
        <v>1451</v>
      </c>
      <c r="S566" s="14" t="s">
        <v>1452</v>
      </c>
      <c r="T566" s="11"/>
      <c r="U566" s="10" t="str">
        <f>HYPERLINK("https://pbs.twimg.com/profile_images/1024340180675821569/U4QG1i9Q.jpg","View")</f>
        <v>View</v>
      </c>
    </row>
    <row r="567" spans="1:21" ht="30.6">
      <c r="A567" s="6">
        <v>43426.493993055556</v>
      </c>
      <c r="B567" s="7" t="str">
        <f>HYPERLINK("https://twitter.com/Noticias24horas","@Noticias24horas")</f>
        <v>@Noticias24horas</v>
      </c>
      <c r="C567" s="8" t="s">
        <v>3694</v>
      </c>
      <c r="D567" s="9" t="s">
        <v>3695</v>
      </c>
      <c r="E567" s="10" t="str">
        <f>HYPERLINK("https://twitter.com/Noticias24horas/status/1065694243325452288","1065694243325452288")</f>
        <v>1065694243325452288</v>
      </c>
      <c r="F567" s="14" t="s">
        <v>3696</v>
      </c>
      <c r="G567" s="14" t="s">
        <v>3697</v>
      </c>
      <c r="H567" s="11"/>
      <c r="I567" s="12">
        <v>1</v>
      </c>
      <c r="J567" s="12">
        <v>0</v>
      </c>
      <c r="K567" s="13" t="str">
        <f t="shared" si="123"/>
        <v>Twitter Web Client</v>
      </c>
      <c r="L567" s="12">
        <v>47981</v>
      </c>
      <c r="M567" s="12">
        <v>14431</v>
      </c>
      <c r="N567" s="12">
        <v>623</v>
      </c>
      <c r="O567" s="15"/>
      <c r="P567" s="6">
        <v>39798.786666666667</v>
      </c>
      <c r="Q567" s="16" t="s">
        <v>3699</v>
      </c>
      <c r="R567" s="17" t="s">
        <v>3700</v>
      </c>
      <c r="S567" s="14" t="s">
        <v>3701</v>
      </c>
      <c r="T567" s="11"/>
      <c r="U567" s="10" t="str">
        <f>HYPERLINK("https://pbs.twimg.com/profile_images/739091131011567616/GfKL7dJ1.jpg","View")</f>
        <v>View</v>
      </c>
    </row>
    <row r="568" spans="1:21" ht="30.6">
      <c r="A568" s="6">
        <v>43426.493599537032</v>
      </c>
      <c r="B568" s="7" t="str">
        <f>HYPERLINK("https://twitter.com/EHBaserrigorri","@EHBaserrigorri")</f>
        <v>@EHBaserrigorri</v>
      </c>
      <c r="C568" s="8" t="s">
        <v>1455</v>
      </c>
      <c r="D568" s="9" t="s">
        <v>1456</v>
      </c>
      <c r="E568" s="10" t="str">
        <f>HYPERLINK("https://twitter.com/EHBaserrigorri/status/1065694099070697472","1065694099070697472")</f>
        <v>1065694099070697472</v>
      </c>
      <c r="F568" s="14" t="s">
        <v>1457</v>
      </c>
      <c r="G568" s="14" t="s">
        <v>1458</v>
      </c>
      <c r="H568" s="11"/>
      <c r="I568" s="12">
        <v>0</v>
      </c>
      <c r="J568" s="12">
        <v>0</v>
      </c>
      <c r="K568" s="13" t="str">
        <f t="shared" si="123"/>
        <v>Twitter Web Client</v>
      </c>
      <c r="L568" s="12">
        <v>665</v>
      </c>
      <c r="M568" s="12">
        <v>544</v>
      </c>
      <c r="N568" s="12">
        <v>7</v>
      </c>
      <c r="O568" s="15"/>
      <c r="P568" s="6">
        <v>42217.411458333328</v>
      </c>
      <c r="Q568" s="11"/>
      <c r="R568" s="19"/>
      <c r="S568" s="11"/>
      <c r="T568" s="11"/>
      <c r="U568" s="10" t="str">
        <f>HYPERLINK("https://pbs.twimg.com/profile_images/627523144320974848/ZbYWabLm.jpg","View")</f>
        <v>View</v>
      </c>
    </row>
    <row r="569" spans="1:21" ht="40.799999999999997">
      <c r="A569" s="6">
        <v>43426.493055555555</v>
      </c>
      <c r="B569" s="7" t="str">
        <f>HYPERLINK("https://twitter.com/Pablo_Iglesias_","@Pablo_Iglesias_")</f>
        <v>@Pablo_Iglesias_</v>
      </c>
      <c r="C569" s="8" t="s">
        <v>383</v>
      </c>
      <c r="D569" s="9" t="s">
        <v>3705</v>
      </c>
      <c r="E569" s="10" t="str">
        <f>HYPERLINK("https://twitter.com/Pablo_Iglesias_/status/1065693901502251011","1065693901502251011")</f>
        <v>1065693901502251011</v>
      </c>
      <c r="F569" s="14" t="s">
        <v>3706</v>
      </c>
      <c r="G569" s="14" t="s">
        <v>3708</v>
      </c>
      <c r="H569" s="11"/>
      <c r="I569" s="12">
        <v>252</v>
      </c>
      <c r="J569" s="12">
        <v>294</v>
      </c>
      <c r="K569" s="13" t="str">
        <f>HYPERLINK("https://about.twitter.com/products/tweetdeck","TweetDeck")</f>
        <v>TweetDeck</v>
      </c>
      <c r="L569" s="12">
        <v>2240182</v>
      </c>
      <c r="M569" s="12">
        <v>2735</v>
      </c>
      <c r="N569" s="12">
        <v>8469</v>
      </c>
      <c r="O569" s="18" t="s">
        <v>52</v>
      </c>
      <c r="P569" s="6">
        <v>40351.200300925928</v>
      </c>
      <c r="Q569" s="16" t="s">
        <v>38</v>
      </c>
      <c r="R569" s="17" t="s">
        <v>389</v>
      </c>
      <c r="S569" s="14" t="s">
        <v>58</v>
      </c>
      <c r="T569" s="11"/>
      <c r="U569" s="10" t="str">
        <f>HYPERLINK("https://pbs.twimg.com/profile_images/902223370569338884/dL2D2A5P.jpg","View")</f>
        <v>View</v>
      </c>
    </row>
    <row r="570" spans="1:21" ht="13.2">
      <c r="A570" s="6">
        <v>43426.492094907408</v>
      </c>
      <c r="B570" s="7" t="str">
        <f>HYPERLINK("https://twitter.com/Majravilla","@Majravilla")</f>
        <v>@Majravilla</v>
      </c>
      <c r="C570" s="8" t="s">
        <v>3711</v>
      </c>
      <c r="D570" s="9" t="s">
        <v>3713</v>
      </c>
      <c r="E570" s="10" t="str">
        <f>HYPERLINK("https://twitter.com/Majravilla/status/1065693554113040384","1065693554113040384")</f>
        <v>1065693554113040384</v>
      </c>
      <c r="F570" s="11"/>
      <c r="G570" s="14" t="s">
        <v>3714</v>
      </c>
      <c r="H570" s="11"/>
      <c r="I570" s="12">
        <v>0</v>
      </c>
      <c r="J570" s="12">
        <v>1</v>
      </c>
      <c r="K570" s="13" t="str">
        <f t="shared" ref="K570:K573" si="124">HYPERLINK("http://twitter.com","Twitter Web Client")</f>
        <v>Twitter Web Client</v>
      </c>
      <c r="L570" s="12">
        <v>56</v>
      </c>
      <c r="M570" s="12">
        <v>105</v>
      </c>
      <c r="N570" s="12">
        <v>0</v>
      </c>
      <c r="O570" s="15"/>
      <c r="P570" s="6">
        <v>43312.147673611107</v>
      </c>
      <c r="Q570" s="11"/>
      <c r="R570" s="17" t="s">
        <v>3717</v>
      </c>
      <c r="S570" s="11"/>
      <c r="T570" s="11"/>
      <c r="U570" s="10" t="str">
        <f>HYPERLINK("https://pbs.twimg.com/profile_images/1054083761304977415/eW2avTDP.jpg","View")</f>
        <v>View</v>
      </c>
    </row>
    <row r="571" spans="1:21" ht="20.399999999999999">
      <c r="A571" s="6">
        <v>43426.491666666669</v>
      </c>
      <c r="B571" s="7" t="str">
        <f>HYPERLINK("https://twitter.com/JoseAMarcello","@JoseAMarcello")</f>
        <v>@JoseAMarcello</v>
      </c>
      <c r="C571" s="8" t="s">
        <v>3668</v>
      </c>
      <c r="D571" s="9" t="s">
        <v>3721</v>
      </c>
      <c r="E571" s="10" t="str">
        <f>HYPERLINK("https://twitter.com/JoseAMarcello/status/1065693399624417280","1065693399624417280")</f>
        <v>1065693399624417280</v>
      </c>
      <c r="F571" s="14" t="s">
        <v>3723</v>
      </c>
      <c r="G571" s="11"/>
      <c r="H571" s="11"/>
      <c r="I571" s="12">
        <v>0</v>
      </c>
      <c r="J571" s="12">
        <v>0</v>
      </c>
      <c r="K571" s="13" t="str">
        <f t="shared" si="124"/>
        <v>Twitter Web Client</v>
      </c>
      <c r="L571" s="12">
        <v>928</v>
      </c>
      <c r="M571" s="12">
        <v>1542</v>
      </c>
      <c r="N571" s="12">
        <v>11</v>
      </c>
      <c r="O571" s="15"/>
      <c r="P571" s="6">
        <v>40909.305405092593</v>
      </c>
      <c r="Q571" s="16" t="s">
        <v>28</v>
      </c>
      <c r="R571" s="17" t="s">
        <v>3673</v>
      </c>
      <c r="S571" s="11"/>
      <c r="T571" s="11"/>
      <c r="U571" s="10" t="str">
        <f>HYPERLINK("https://pbs.twimg.com/profile_images/1054466224623706112/hXTdLWGf.jpg","View")</f>
        <v>View</v>
      </c>
    </row>
    <row r="572" spans="1:21" ht="30.6">
      <c r="A572" s="6">
        <v>43426.488553240742</v>
      </c>
      <c r="B572" s="7" t="str">
        <f t="shared" ref="B572:B573" si="125">HYPERLINK("https://twitter.com/angsimpa","@angsimpa")</f>
        <v>@angsimpa</v>
      </c>
      <c r="C572" s="8" t="s">
        <v>2971</v>
      </c>
      <c r="D572" s="9" t="s">
        <v>3727</v>
      </c>
      <c r="E572" s="10" t="str">
        <f>HYPERLINK("https://twitter.com/angsimpa/status/1065692271511855105","1065692271511855105")</f>
        <v>1065692271511855105</v>
      </c>
      <c r="F572" s="14" t="s">
        <v>529</v>
      </c>
      <c r="G572" s="11"/>
      <c r="H572" s="11"/>
      <c r="I572" s="12">
        <v>0</v>
      </c>
      <c r="J572" s="12">
        <v>0</v>
      </c>
      <c r="K572" s="13" t="str">
        <f t="shared" si="124"/>
        <v>Twitter Web Client</v>
      </c>
      <c r="L572" s="12">
        <v>4292</v>
      </c>
      <c r="M572" s="12">
        <v>3984</v>
      </c>
      <c r="N572" s="12">
        <v>171</v>
      </c>
      <c r="O572" s="15"/>
      <c r="P572" s="6">
        <v>40550.661354166667</v>
      </c>
      <c r="Q572" s="11"/>
      <c r="R572" s="17" t="s">
        <v>2975</v>
      </c>
      <c r="S572" s="11"/>
      <c r="T572" s="11"/>
      <c r="U572" s="10" t="str">
        <f t="shared" ref="U572:U573" si="126">HYPERLINK("https://pbs.twimg.com/profile_images/1021373803350450177/YdPasB9Q.jpg","View")</f>
        <v>View</v>
      </c>
    </row>
    <row r="573" spans="1:21" ht="20.399999999999999">
      <c r="A573" s="6">
        <v>43426.488159722227</v>
      </c>
      <c r="B573" s="7" t="str">
        <f t="shared" si="125"/>
        <v>@angsimpa</v>
      </c>
      <c r="C573" s="8" t="s">
        <v>2971</v>
      </c>
      <c r="D573" s="9" t="s">
        <v>768</v>
      </c>
      <c r="E573" s="10" t="str">
        <f>HYPERLINK("https://twitter.com/angsimpa/status/1065692129387790336","1065692129387790336")</f>
        <v>1065692129387790336</v>
      </c>
      <c r="F573" s="14" t="s">
        <v>529</v>
      </c>
      <c r="G573" s="11"/>
      <c r="H573" s="11"/>
      <c r="I573" s="12">
        <v>1</v>
      </c>
      <c r="J573" s="12">
        <v>2</v>
      </c>
      <c r="K573" s="13" t="str">
        <f t="shared" si="124"/>
        <v>Twitter Web Client</v>
      </c>
      <c r="L573" s="12">
        <v>4292</v>
      </c>
      <c r="M573" s="12">
        <v>3984</v>
      </c>
      <c r="N573" s="12">
        <v>171</v>
      </c>
      <c r="O573" s="15"/>
      <c r="P573" s="6">
        <v>40550.661354166667</v>
      </c>
      <c r="Q573" s="11"/>
      <c r="R573" s="17" t="s">
        <v>2975</v>
      </c>
      <c r="S573" s="11"/>
      <c r="T573" s="11"/>
      <c r="U573" s="10" t="str">
        <f t="shared" si="126"/>
        <v>View</v>
      </c>
    </row>
    <row r="574" spans="1:21" ht="61.2">
      <c r="A574" s="6">
        <v>43426.487500000003</v>
      </c>
      <c r="B574" s="7" t="str">
        <f>HYPERLINK("https://twitter.com/Radio_Sporting","@Radio_Sporting")</f>
        <v>@Radio_Sporting</v>
      </c>
      <c r="C574" s="8" t="s">
        <v>884</v>
      </c>
      <c r="D574" s="9" t="s">
        <v>3568</v>
      </c>
      <c r="E574" s="10" t="str">
        <f>HYPERLINK("https://twitter.com/Radio_Sporting/status/1065691887980417026","1065691887980417026")</f>
        <v>1065691887980417026</v>
      </c>
      <c r="F574" s="11"/>
      <c r="G574" s="14" t="s">
        <v>3740</v>
      </c>
      <c r="H574" s="11"/>
      <c r="I574" s="12">
        <v>1</v>
      </c>
      <c r="J574" s="12">
        <v>1</v>
      </c>
      <c r="K574" s="13" t="str">
        <f>HYPERLINK("https://about.twitter.com/products/tweetdeck","TweetDeck")</f>
        <v>TweetDeck</v>
      </c>
      <c r="L574" s="12">
        <v>2244</v>
      </c>
      <c r="M574" s="12">
        <v>1450</v>
      </c>
      <c r="N574" s="12">
        <v>35</v>
      </c>
      <c r="O574" s="15"/>
      <c r="P574" s="6">
        <v>41810.058981481481</v>
      </c>
      <c r="Q574" s="16" t="s">
        <v>891</v>
      </c>
      <c r="R574" s="17" t="s">
        <v>892</v>
      </c>
      <c r="S574" s="14" t="s">
        <v>893</v>
      </c>
      <c r="T574" s="11"/>
      <c r="U574" s="10" t="str">
        <f>HYPERLINK("https://pbs.twimg.com/profile_images/1046720125746008067/7_1_XRaL.jpg","View")</f>
        <v>View</v>
      </c>
    </row>
    <row r="575" spans="1:21" ht="40.799999999999997">
      <c r="A575" s="6">
        <v>43426.486817129626</v>
      </c>
      <c r="B575" s="7" t="str">
        <f>HYPERLINK("https://twitter.com/puertocruz05","@puertocruz05")</f>
        <v>@puertocruz05</v>
      </c>
      <c r="C575" s="8" t="s">
        <v>3745</v>
      </c>
      <c r="D575" s="9" t="s">
        <v>3746</v>
      </c>
      <c r="E575" s="10" t="str">
        <f>HYPERLINK("https://twitter.com/puertocruz05/status/1065691642965958656","1065691642965958656")</f>
        <v>1065691642965958656</v>
      </c>
      <c r="F575" s="14" t="s">
        <v>79</v>
      </c>
      <c r="G575" s="11"/>
      <c r="H575" s="11"/>
      <c r="I575" s="12">
        <v>0</v>
      </c>
      <c r="J575" s="12">
        <v>0</v>
      </c>
      <c r="K575" s="13" t="str">
        <f>HYPERLINK("http://twitter.com/#!/download/ipad","Twitter for iPad")</f>
        <v>Twitter for iPad</v>
      </c>
      <c r="L575" s="12">
        <v>343</v>
      </c>
      <c r="M575" s="12">
        <v>961</v>
      </c>
      <c r="N575" s="12">
        <v>16</v>
      </c>
      <c r="O575" s="15"/>
      <c r="P575" s="6">
        <v>41259.117175925923</v>
      </c>
      <c r="Q575" s="11"/>
      <c r="R575" s="17" t="s">
        <v>3751</v>
      </c>
      <c r="S575" s="11"/>
      <c r="T575" s="11"/>
      <c r="U575" s="10" t="str">
        <f>HYPERLINK("https://pbs.twimg.com/profile_images/2981980426/f8258064e2f84e2f4c483b7c7811c046.jpeg","View")</f>
        <v>View</v>
      </c>
    </row>
    <row r="576" spans="1:21" ht="102">
      <c r="A576" s="6">
        <v>43426.48572916667</v>
      </c>
      <c r="B576" s="7" t="str">
        <f>HYPERLINK("https://twitter.com/EL00LEON","@EL00LEON")</f>
        <v>@EL00LEON</v>
      </c>
      <c r="C576" s="8" t="s">
        <v>3754</v>
      </c>
      <c r="D576" s="9" t="s">
        <v>3757</v>
      </c>
      <c r="E576" s="10" t="str">
        <f>HYPERLINK("https://twitter.com/EL00LEON/status/1065691246100910080","1065691246100910080")</f>
        <v>1065691246100910080</v>
      </c>
      <c r="F576" s="16" t="s">
        <v>3759</v>
      </c>
      <c r="G576" s="14" t="s">
        <v>3760</v>
      </c>
      <c r="H576" s="11"/>
      <c r="I576" s="12">
        <v>0</v>
      </c>
      <c r="J576" s="12">
        <v>1</v>
      </c>
      <c r="K576" s="13" t="str">
        <f>HYPERLINK("http://twitter.com/download/iphone","Twitter for iPhone")</f>
        <v>Twitter for iPhone</v>
      </c>
      <c r="L576" s="12">
        <v>660</v>
      </c>
      <c r="M576" s="12">
        <v>433</v>
      </c>
      <c r="N576" s="12">
        <v>13</v>
      </c>
      <c r="O576" s="15"/>
      <c r="P576" s="6">
        <v>42227.578958333332</v>
      </c>
      <c r="Q576" s="11"/>
      <c r="R576" s="19"/>
      <c r="S576" s="11"/>
      <c r="T576" s="11"/>
      <c r="U576" s="10" t="str">
        <f>HYPERLINK("https://pbs.twimg.com/profile_images/631208801664937985/cIjOulWw.jpg","View")</f>
        <v>View</v>
      </c>
    </row>
    <row r="577" spans="1:21" ht="30.6">
      <c r="A577" s="6">
        <v>43426.484421296293</v>
      </c>
      <c r="B577" s="7" t="str">
        <f>HYPERLINK("https://twitter.com/vicbaguer","@vicbaguer")</f>
        <v>@vicbaguer</v>
      </c>
      <c r="C577" s="8" t="s">
        <v>3766</v>
      </c>
      <c r="D577" s="9" t="s">
        <v>2480</v>
      </c>
      <c r="E577" s="10" t="str">
        <f>HYPERLINK("https://twitter.com/vicbaguer/status/1065690774069747712","1065690774069747712")</f>
        <v>1065690774069747712</v>
      </c>
      <c r="F577" s="14" t="s">
        <v>2481</v>
      </c>
      <c r="G577" s="11"/>
      <c r="H577" s="11"/>
      <c r="I577" s="12">
        <v>0</v>
      </c>
      <c r="J577" s="12">
        <v>2</v>
      </c>
      <c r="K577" s="13" t="str">
        <f>HYPERLINK("http://twitter.com/download/android","Twitter for Android")</f>
        <v>Twitter for Android</v>
      </c>
      <c r="L577" s="12">
        <v>564</v>
      </c>
      <c r="M577" s="12">
        <v>622</v>
      </c>
      <c r="N577" s="12">
        <v>4</v>
      </c>
      <c r="O577" s="15"/>
      <c r="P577" s="6">
        <v>43025.579618055555</v>
      </c>
      <c r="Q577" s="16" t="s">
        <v>3771</v>
      </c>
      <c r="R577" s="17" t="s">
        <v>3772</v>
      </c>
      <c r="S577" s="11"/>
      <c r="T577" s="11"/>
      <c r="U577" s="10" t="str">
        <f>HYPERLINK("https://pbs.twimg.com/profile_images/998625983434391552/zMQe5s7O.jpg","View")</f>
        <v>View</v>
      </c>
    </row>
    <row r="578" spans="1:21" ht="20.399999999999999">
      <c r="A578" s="6">
        <v>43426.484398148154</v>
      </c>
      <c r="B578" s="7" t="str">
        <f>HYPERLINK("https://twitter.com/claudiperez","@claudiperez")</f>
        <v>@claudiperez</v>
      </c>
      <c r="C578" s="8" t="s">
        <v>3776</v>
      </c>
      <c r="D578" s="9" t="s">
        <v>768</v>
      </c>
      <c r="E578" s="10" t="str">
        <f>HYPERLINK("https://twitter.com/claudiperez/status/1065690764787761156","1065690764787761156")</f>
        <v>1065690764787761156</v>
      </c>
      <c r="F578" s="14" t="s">
        <v>529</v>
      </c>
      <c r="G578" s="11"/>
      <c r="H578" s="11"/>
      <c r="I578" s="12">
        <v>0</v>
      </c>
      <c r="J578" s="12">
        <v>0</v>
      </c>
      <c r="K578" s="13" t="str">
        <f>HYPERLINK("http://twitter.com/download/iphone","Twitter for iPhone")</f>
        <v>Twitter for iPhone</v>
      </c>
      <c r="L578" s="12">
        <v>17430</v>
      </c>
      <c r="M578" s="12">
        <v>2853</v>
      </c>
      <c r="N578" s="12">
        <v>683</v>
      </c>
      <c r="O578" s="15"/>
      <c r="P578" s="6">
        <v>40631.345439814817</v>
      </c>
      <c r="Q578" s="11"/>
      <c r="R578" s="17" t="s">
        <v>3781</v>
      </c>
      <c r="S578" s="14" t="s">
        <v>3782</v>
      </c>
      <c r="T578" s="11"/>
      <c r="U578" s="10" t="str">
        <f>HYPERLINK("https://pbs.twimg.com/profile_images/1799626336/claudi2.jpg","View")</f>
        <v>View</v>
      </c>
    </row>
    <row r="579" spans="1:21" ht="51">
      <c r="A579" s="6">
        <v>43426.48436342593</v>
      </c>
      <c r="B579" s="7" t="str">
        <f>HYPERLINK("https://twitter.com/pacoluisj","@pacoluisj")</f>
        <v>@pacoluisj</v>
      </c>
      <c r="C579" s="8" t="s">
        <v>3787</v>
      </c>
      <c r="D579" s="9" t="s">
        <v>3788</v>
      </c>
      <c r="E579" s="10" t="str">
        <f>HYPERLINK("https://twitter.com/pacoluisj/status/1065690751957458944","1065690751957458944")</f>
        <v>1065690751957458944</v>
      </c>
      <c r="F579" s="11"/>
      <c r="G579" s="11"/>
      <c r="H579" s="11"/>
      <c r="I579" s="12">
        <v>3</v>
      </c>
      <c r="J579" s="12">
        <v>5</v>
      </c>
      <c r="K579" s="13" t="str">
        <f>HYPERLINK("http://twitter.com/download/android","Twitter for Android")</f>
        <v>Twitter for Android</v>
      </c>
      <c r="L579" s="12">
        <v>5127</v>
      </c>
      <c r="M579" s="12">
        <v>5147</v>
      </c>
      <c r="N579" s="12">
        <v>33</v>
      </c>
      <c r="O579" s="15"/>
      <c r="P579" s="6">
        <v>40259.459560185183</v>
      </c>
      <c r="Q579" s="16" t="s">
        <v>28</v>
      </c>
      <c r="R579" s="17" t="s">
        <v>3792</v>
      </c>
      <c r="S579" s="11"/>
      <c r="T579" s="11"/>
      <c r="U579" s="10" t="str">
        <f>HYPERLINK("https://pbs.twimg.com/profile_images/978195787904634880/xKXdKqVW.jpg","View")</f>
        <v>View</v>
      </c>
    </row>
    <row r="580" spans="1:21" ht="112.2">
      <c r="A580" s="6">
        <v>43426.483807870369</v>
      </c>
      <c r="B580" s="7" t="str">
        <f>HYPERLINK("https://twitter.com/Tataguay","@Tataguay")</f>
        <v>@Tataguay</v>
      </c>
      <c r="C580" s="8" t="s">
        <v>1314</v>
      </c>
      <c r="D580" s="9" t="s">
        <v>1462</v>
      </c>
      <c r="E580" s="10" t="str">
        <f>HYPERLINK("https://twitter.com/Tataguay/status/1065690552203714560","1065690552203714560")</f>
        <v>1065690552203714560</v>
      </c>
      <c r="F580" s="16" t="s">
        <v>1463</v>
      </c>
      <c r="G580" s="11"/>
      <c r="H580" s="11"/>
      <c r="I580" s="12">
        <v>0</v>
      </c>
      <c r="J580" s="12">
        <v>0</v>
      </c>
      <c r="K580" s="13" t="str">
        <f t="shared" ref="K580:K585" si="127">HYPERLINK("http://twitter.com","Twitter Web Client")</f>
        <v>Twitter Web Client</v>
      </c>
      <c r="L580" s="12">
        <v>982</v>
      </c>
      <c r="M580" s="12">
        <v>1892</v>
      </c>
      <c r="N580" s="12">
        <v>4</v>
      </c>
      <c r="O580" s="15"/>
      <c r="P580" s="6">
        <v>40478.260636574072</v>
      </c>
      <c r="Q580" s="16" t="s">
        <v>1320</v>
      </c>
      <c r="R580" s="17" t="s">
        <v>1321</v>
      </c>
      <c r="S580" s="11"/>
      <c r="T580" s="11"/>
      <c r="U580" s="10" t="str">
        <f>HYPERLINK("https://pbs.twimg.com/profile_images/914989519966998528/V5sg3EYQ.jpg","View")</f>
        <v>View</v>
      </c>
    </row>
    <row r="581" spans="1:21" ht="40.799999999999997">
      <c r="A581" s="6">
        <v>43426.483240740738</v>
      </c>
      <c r="B581" s="7" t="str">
        <f>HYPERLINK("https://twitter.com/Milio_Linares","@Milio_Linares")</f>
        <v>@Milio_Linares</v>
      </c>
      <c r="C581" s="8" t="s">
        <v>1467</v>
      </c>
      <c r="D581" s="9" t="s">
        <v>1468</v>
      </c>
      <c r="E581" s="10" t="str">
        <f>HYPERLINK("https://twitter.com/Milio_Linares/status/1065690343079899138","1065690343079899138")</f>
        <v>1065690343079899138</v>
      </c>
      <c r="F581" s="14" t="s">
        <v>1469</v>
      </c>
      <c r="G581" s="14" t="s">
        <v>1470</v>
      </c>
      <c r="H581" s="11"/>
      <c r="I581" s="12">
        <v>0</v>
      </c>
      <c r="J581" s="12">
        <v>1</v>
      </c>
      <c r="K581" s="13" t="str">
        <f t="shared" si="127"/>
        <v>Twitter Web Client</v>
      </c>
      <c r="L581" s="12">
        <v>738</v>
      </c>
      <c r="M581" s="12">
        <v>888</v>
      </c>
      <c r="N581" s="12">
        <v>16</v>
      </c>
      <c r="O581" s="15"/>
      <c r="P581" s="6">
        <v>40418.5390625</v>
      </c>
      <c r="Q581" s="16" t="s">
        <v>1234</v>
      </c>
      <c r="R581" s="17" t="s">
        <v>1471</v>
      </c>
      <c r="S581" s="11"/>
      <c r="T581" s="11"/>
      <c r="U581" s="10" t="str">
        <f>HYPERLINK("https://pbs.twimg.com/profile_images/823991625961578498/3EKWNYFO.jpg","View")</f>
        <v>View</v>
      </c>
    </row>
    <row r="582" spans="1:21" ht="30.6">
      <c r="A582" s="6">
        <v>43426.482233796298</v>
      </c>
      <c r="B582" s="7" t="str">
        <f>HYPERLINK("https://twitter.com/vivisrock","@vivisrock")</f>
        <v>@vivisrock</v>
      </c>
      <c r="C582" s="8" t="s">
        <v>1472</v>
      </c>
      <c r="D582" s="9" t="s">
        <v>1473</v>
      </c>
      <c r="E582" s="10" t="str">
        <f>HYPERLINK("https://twitter.com/vivisrock/status/1065689980146802691","1065689980146802691")</f>
        <v>1065689980146802691</v>
      </c>
      <c r="F582" s="14" t="s">
        <v>1267</v>
      </c>
      <c r="G582" s="11"/>
      <c r="H582" s="11"/>
      <c r="I582" s="12">
        <v>0</v>
      </c>
      <c r="J582" s="12">
        <v>0</v>
      </c>
      <c r="K582" s="13" t="str">
        <f t="shared" si="127"/>
        <v>Twitter Web Client</v>
      </c>
      <c r="L582" s="12">
        <v>301</v>
      </c>
      <c r="M582" s="12">
        <v>1537</v>
      </c>
      <c r="N582" s="12">
        <v>4</v>
      </c>
      <c r="O582" s="15"/>
      <c r="P582" s="6">
        <v>40039.79351851852</v>
      </c>
      <c r="Q582" s="11"/>
      <c r="R582" s="17" t="s">
        <v>1474</v>
      </c>
      <c r="S582" s="11"/>
      <c r="T582" s="11"/>
      <c r="U582" s="10" t="str">
        <f>HYPERLINK("https://pbs.twimg.com/profile_images/1030867319482769408/e5Jh_SP7.jpg","View")</f>
        <v>View</v>
      </c>
    </row>
    <row r="583" spans="1:21" ht="112.2">
      <c r="A583" s="6">
        <v>43426.482106481482</v>
      </c>
      <c r="B583" s="7" t="str">
        <f>HYPERLINK("https://twitter.com/Tataguay","@Tataguay")</f>
        <v>@Tataguay</v>
      </c>
      <c r="C583" s="8" t="s">
        <v>1314</v>
      </c>
      <c r="D583" s="9" t="s">
        <v>1477</v>
      </c>
      <c r="E583" s="10" t="str">
        <f>HYPERLINK("https://twitter.com/Tataguay/status/1065689932847595521","1065689932847595521")</f>
        <v>1065689932847595521</v>
      </c>
      <c r="F583" s="14" t="s">
        <v>1479</v>
      </c>
      <c r="G583" s="11"/>
      <c r="H583" s="11"/>
      <c r="I583" s="12">
        <v>0</v>
      </c>
      <c r="J583" s="12">
        <v>0</v>
      </c>
      <c r="K583" s="13" t="str">
        <f t="shared" si="127"/>
        <v>Twitter Web Client</v>
      </c>
      <c r="L583" s="12">
        <v>982</v>
      </c>
      <c r="M583" s="12">
        <v>1892</v>
      </c>
      <c r="N583" s="12">
        <v>4</v>
      </c>
      <c r="O583" s="15"/>
      <c r="P583" s="6">
        <v>40478.260636574072</v>
      </c>
      <c r="Q583" s="16" t="s">
        <v>1320</v>
      </c>
      <c r="R583" s="17" t="s">
        <v>1321</v>
      </c>
      <c r="S583" s="11"/>
      <c r="T583" s="11"/>
      <c r="U583" s="10" t="str">
        <f>HYPERLINK("https://pbs.twimg.com/profile_images/914989519966998528/V5sg3EYQ.jpg","View")</f>
        <v>View</v>
      </c>
    </row>
    <row r="584" spans="1:21" ht="30.6">
      <c r="A584" s="6">
        <v>43426.480682870373</v>
      </c>
      <c r="B584" s="7" t="str">
        <f>HYPERLINK("https://twitter.com/SugarraEH","@SugarraEH")</f>
        <v>@SugarraEH</v>
      </c>
      <c r="C584" s="8" t="s">
        <v>3815</v>
      </c>
      <c r="D584" s="9" t="s">
        <v>3816</v>
      </c>
      <c r="E584" s="10" t="str">
        <f>HYPERLINK("https://twitter.com/SugarraEH/status/1065689417275375618","1065689417275375618")</f>
        <v>1065689417275375618</v>
      </c>
      <c r="F584" s="14" t="s">
        <v>3817</v>
      </c>
      <c r="G584" s="11"/>
      <c r="H584" s="11"/>
      <c r="I584" s="12">
        <v>0</v>
      </c>
      <c r="J584" s="12">
        <v>0</v>
      </c>
      <c r="K584" s="13" t="str">
        <f t="shared" si="127"/>
        <v>Twitter Web Client</v>
      </c>
      <c r="L584" s="12">
        <v>946</v>
      </c>
      <c r="M584" s="12">
        <v>915</v>
      </c>
      <c r="N584" s="12">
        <v>16</v>
      </c>
      <c r="O584" s="15"/>
      <c r="P584" s="6">
        <v>40683.494745370372</v>
      </c>
      <c r="Q584" s="16" t="s">
        <v>3819</v>
      </c>
      <c r="R584" s="17" t="s">
        <v>3820</v>
      </c>
      <c r="S584" s="14" t="s">
        <v>3821</v>
      </c>
      <c r="T584" s="11"/>
      <c r="U584" s="10" t="str">
        <f>HYPERLINK("https://pbs.twimg.com/profile_images/506332148534493184/Rurl4rPW.jpeg","View")</f>
        <v>View</v>
      </c>
    </row>
    <row r="585" spans="1:21" ht="51">
      <c r="A585" s="6">
        <v>43426.480543981481</v>
      </c>
      <c r="B585" s="7" t="str">
        <f>HYPERLINK("https://twitter.com/pistilo77","@pistilo77")</f>
        <v>@pistilo77</v>
      </c>
      <c r="C585" s="8" t="s">
        <v>3824</v>
      </c>
      <c r="D585" s="9" t="s">
        <v>3826</v>
      </c>
      <c r="E585" s="10" t="str">
        <f>HYPERLINK("https://twitter.com/pistilo77/status/1065689368856285186","1065689368856285186")</f>
        <v>1065689368856285186</v>
      </c>
      <c r="F585" s="14" t="s">
        <v>3827</v>
      </c>
      <c r="G585" s="14" t="s">
        <v>3828</v>
      </c>
      <c r="H585" s="11"/>
      <c r="I585" s="12">
        <v>0</v>
      </c>
      <c r="J585" s="12">
        <v>1</v>
      </c>
      <c r="K585" s="13" t="str">
        <f t="shared" si="127"/>
        <v>Twitter Web Client</v>
      </c>
      <c r="L585" s="12">
        <v>567</v>
      </c>
      <c r="M585" s="12">
        <v>61</v>
      </c>
      <c r="N585" s="12">
        <v>4</v>
      </c>
      <c r="O585" s="15"/>
      <c r="P585" s="6">
        <v>39896.239293981482</v>
      </c>
      <c r="Q585" s="11"/>
      <c r="R585" s="19"/>
      <c r="S585" s="11"/>
      <c r="T585" s="11"/>
      <c r="U585" s="10" t="str">
        <f>HYPERLINK("https://pbs.twimg.com/profile_images/945832148807880706/0ZYyTDDJ.jpg","View")</f>
        <v>View</v>
      </c>
    </row>
    <row r="586" spans="1:21" ht="71.400000000000006">
      <c r="A586" s="6">
        <v>43426.480162037042</v>
      </c>
      <c r="B586" s="7" t="str">
        <f>HYPERLINK("https://twitter.com/Vicariusx","@Vicariusx")</f>
        <v>@Vicariusx</v>
      </c>
      <c r="C586" s="8" t="s">
        <v>3831</v>
      </c>
      <c r="D586" s="9" t="s">
        <v>3832</v>
      </c>
      <c r="E586" s="10" t="str">
        <f>HYPERLINK("https://twitter.com/Vicariusx/status/1065689231387967489","1065689231387967489")</f>
        <v>1065689231387967489</v>
      </c>
      <c r="F586" s="14" t="s">
        <v>3833</v>
      </c>
      <c r="G586" s="14" t="s">
        <v>3834</v>
      </c>
      <c r="H586" s="11"/>
      <c r="I586" s="12">
        <v>0</v>
      </c>
      <c r="J586" s="12">
        <v>0</v>
      </c>
      <c r="K586" s="13" t="str">
        <f>HYPERLINK("http://twitter.com/download/android","Twitter for Android")</f>
        <v>Twitter for Android</v>
      </c>
      <c r="L586" s="12">
        <v>623</v>
      </c>
      <c r="M586" s="12">
        <v>2186</v>
      </c>
      <c r="N586" s="12">
        <v>8</v>
      </c>
      <c r="O586" s="15"/>
      <c r="P586" s="6">
        <v>40766.304224537038</v>
      </c>
      <c r="Q586" s="16" t="s">
        <v>3836</v>
      </c>
      <c r="R586" s="17" t="s">
        <v>3837</v>
      </c>
      <c r="S586" s="11"/>
      <c r="T586" s="11"/>
      <c r="U586" s="10" t="str">
        <f>HYPERLINK("https://pbs.twimg.com/profile_images/1008011225576468486/eA742x-u.jpg","View")</f>
        <v>View</v>
      </c>
    </row>
    <row r="587" spans="1:21" ht="40.799999999999997">
      <c r="A587" s="6">
        <v>43426.478518518517</v>
      </c>
      <c r="B587" s="7" t="str">
        <f>HYPERLINK("https://twitter.com/CindyEspina","@CindyEspina")</f>
        <v>@CindyEspina</v>
      </c>
      <c r="C587" s="8" t="s">
        <v>1482</v>
      </c>
      <c r="D587" s="9" t="s">
        <v>1483</v>
      </c>
      <c r="E587" s="10" t="str">
        <f>HYPERLINK("https://twitter.com/CindyEspina/status/1065688633997430784","1065688633997430784")</f>
        <v>1065688633997430784</v>
      </c>
      <c r="F587" s="11"/>
      <c r="G587" s="14" t="s">
        <v>1484</v>
      </c>
      <c r="H587" s="11"/>
      <c r="I587" s="12">
        <v>0</v>
      </c>
      <c r="J587" s="12">
        <v>0</v>
      </c>
      <c r="K587" s="13" t="str">
        <f t="shared" ref="K587:K588" si="128">HYPERLINK("http://twitter.com","Twitter Web Client")</f>
        <v>Twitter Web Client</v>
      </c>
      <c r="L587" s="12">
        <v>1750</v>
      </c>
      <c r="M587" s="12">
        <v>882</v>
      </c>
      <c r="N587" s="12">
        <v>18</v>
      </c>
      <c r="O587" s="15"/>
      <c r="P587" s="6">
        <v>39924.543333333335</v>
      </c>
      <c r="Q587" s="16" t="s">
        <v>1485</v>
      </c>
      <c r="R587" s="17" t="s">
        <v>1486</v>
      </c>
      <c r="S587" s="14" t="s">
        <v>1487</v>
      </c>
      <c r="T587" s="11"/>
      <c r="U587" s="10" t="str">
        <f>HYPERLINK("https://pbs.twimg.com/profile_images/1057142740432142336/UvuNjz7O.jpg","View")</f>
        <v>View</v>
      </c>
    </row>
    <row r="588" spans="1:21" ht="20.399999999999999">
      <c r="A588" s="6">
        <v>43426.478368055556</v>
      </c>
      <c r="B588" s="7" t="str">
        <f>HYPERLINK("https://twitter.com/begoa36","@begoa36")</f>
        <v>@begoa36</v>
      </c>
      <c r="C588" s="8" t="s">
        <v>3840</v>
      </c>
      <c r="D588" s="9" t="s">
        <v>3841</v>
      </c>
      <c r="E588" s="10" t="str">
        <f>HYPERLINK("https://twitter.com/begoa36/status/1065688577210757120","1065688577210757120")</f>
        <v>1065688577210757120</v>
      </c>
      <c r="F588" s="14" t="s">
        <v>3842</v>
      </c>
      <c r="G588" s="11"/>
      <c r="H588" s="11"/>
      <c r="I588" s="12">
        <v>0</v>
      </c>
      <c r="J588" s="12">
        <v>0</v>
      </c>
      <c r="K588" s="13" t="str">
        <f t="shared" si="128"/>
        <v>Twitter Web Client</v>
      </c>
      <c r="L588" s="12">
        <v>284</v>
      </c>
      <c r="M588" s="12">
        <v>112</v>
      </c>
      <c r="N588" s="12">
        <v>4</v>
      </c>
      <c r="O588" s="15"/>
      <c r="P588" s="6">
        <v>40806.454166666663</v>
      </c>
      <c r="Q588" s="16" t="s">
        <v>3843</v>
      </c>
      <c r="R588" s="19"/>
      <c r="S588" s="11"/>
      <c r="T588" s="11"/>
      <c r="U588" s="10" t="str">
        <f>HYPERLINK("https://pbs.twimg.com/profile_images/1039993218191044609/uHWsP2m8.jpg","View")</f>
        <v>View</v>
      </c>
    </row>
    <row r="589" spans="1:21" ht="81.599999999999994">
      <c r="A589" s="6">
        <v>43426.477696759262</v>
      </c>
      <c r="B589" s="7" t="str">
        <f>HYPERLINK("https://twitter.com/pensatires","@pensatires")</f>
        <v>@pensatires</v>
      </c>
      <c r="C589" s="8" t="s">
        <v>3845</v>
      </c>
      <c r="D589" s="9" t="s">
        <v>3846</v>
      </c>
      <c r="E589" s="10" t="str">
        <f>HYPERLINK("https://twitter.com/pensatires/status/1065688335132356608","1065688335132356608")</f>
        <v>1065688335132356608</v>
      </c>
      <c r="F589" s="14" t="s">
        <v>1440</v>
      </c>
      <c r="G589" s="11"/>
      <c r="H589" s="11"/>
      <c r="I589" s="12">
        <v>0</v>
      </c>
      <c r="J589" s="12">
        <v>0</v>
      </c>
      <c r="K589" s="13" t="str">
        <f t="shared" ref="K589:K592" si="129">HYPERLINK("http://twitter.com/download/iphone","Twitter for iPhone")</f>
        <v>Twitter for iPhone</v>
      </c>
      <c r="L589" s="12">
        <v>54</v>
      </c>
      <c r="M589" s="12">
        <v>41</v>
      </c>
      <c r="N589" s="12">
        <v>0</v>
      </c>
      <c r="O589" s="15"/>
      <c r="P589" s="6">
        <v>42571.438460648147</v>
      </c>
      <c r="Q589" s="16" t="s">
        <v>87</v>
      </c>
      <c r="R589" s="17" t="s">
        <v>3848</v>
      </c>
      <c r="S589" s="11"/>
      <c r="T589" s="11"/>
      <c r="U589" s="10" t="str">
        <f>HYPERLINK("https://pbs.twimg.com/profile_images/760752681703075840/9lkduTK5.jpg","View")</f>
        <v>View</v>
      </c>
    </row>
    <row r="590" spans="1:21" ht="40.799999999999997">
      <c r="A590" s="6">
        <v>43426.47555555556</v>
      </c>
      <c r="B590" s="7" t="str">
        <f>HYPERLINK("https://twitter.com/DRojasPereyra","@DRojasPereyra")</f>
        <v>@DRojasPereyra</v>
      </c>
      <c r="C590" s="8" t="s">
        <v>3849</v>
      </c>
      <c r="D590" s="9" t="s">
        <v>3851</v>
      </c>
      <c r="E590" s="10" t="str">
        <f>HYPERLINK("https://twitter.com/DRojasPereyra/status/1065687559995568128","1065687559995568128")</f>
        <v>1065687559995568128</v>
      </c>
      <c r="F590" s="11"/>
      <c r="G590" s="11"/>
      <c r="H590" s="11"/>
      <c r="I590" s="12">
        <v>0</v>
      </c>
      <c r="J590" s="12">
        <v>0</v>
      </c>
      <c r="K590" s="13" t="str">
        <f t="shared" si="129"/>
        <v>Twitter for iPhone</v>
      </c>
      <c r="L590" s="12">
        <v>6693</v>
      </c>
      <c r="M590" s="12">
        <v>5092</v>
      </c>
      <c r="N590" s="12">
        <v>25</v>
      </c>
      <c r="O590" s="15"/>
      <c r="P590" s="6">
        <v>40299.756412037037</v>
      </c>
      <c r="Q590" s="16" t="s">
        <v>3855</v>
      </c>
      <c r="R590" s="17" t="s">
        <v>3856</v>
      </c>
      <c r="S590" s="14" t="s">
        <v>3857</v>
      </c>
      <c r="T590" s="11"/>
      <c r="U590" s="10" t="str">
        <f>HYPERLINK("https://pbs.twimg.com/profile_images/997676804998553600/qdSL2uM3.jpg","View")</f>
        <v>View</v>
      </c>
    </row>
    <row r="591" spans="1:21" ht="20.399999999999999">
      <c r="A591" s="6">
        <v>43426.475069444445</v>
      </c>
      <c r="B591" s="7" t="str">
        <f>HYPERLINK("https://twitter.com/PaulAuster22","@PaulAuster22")</f>
        <v>@PaulAuster22</v>
      </c>
      <c r="C591" s="8" t="s">
        <v>3859</v>
      </c>
      <c r="D591" s="9" t="s">
        <v>768</v>
      </c>
      <c r="E591" s="10" t="str">
        <f>HYPERLINK("https://twitter.com/PaulAuster22/status/1065687383985799169","1065687383985799169")</f>
        <v>1065687383985799169</v>
      </c>
      <c r="F591" s="14" t="s">
        <v>529</v>
      </c>
      <c r="G591" s="11"/>
      <c r="H591" s="11"/>
      <c r="I591" s="12">
        <v>0</v>
      </c>
      <c r="J591" s="12">
        <v>0</v>
      </c>
      <c r="K591" s="13" t="str">
        <f t="shared" si="129"/>
        <v>Twitter for iPhone</v>
      </c>
      <c r="L591" s="12">
        <v>555</v>
      </c>
      <c r="M591" s="12">
        <v>3142</v>
      </c>
      <c r="N591" s="12">
        <v>16</v>
      </c>
      <c r="O591" s="15"/>
      <c r="P591" s="6">
        <v>41352.674444444448</v>
      </c>
      <c r="Q591" s="11"/>
      <c r="R591" s="17" t="s">
        <v>3861</v>
      </c>
      <c r="S591" s="11"/>
      <c r="T591" s="11"/>
      <c r="U591" s="10" t="str">
        <f>HYPERLINK("https://pbs.twimg.com/profile_images/1065531501629112320/lvsHGN5b.jpg","View")</f>
        <v>View</v>
      </c>
    </row>
    <row r="592" spans="1:21" ht="30.6">
      <c r="A592" s="6">
        <v>43426.473773148144</v>
      </c>
      <c r="B592" s="7" t="str">
        <f>HYPERLINK("https://twitter.com/Elradical22","@Elradical22")</f>
        <v>@Elradical22</v>
      </c>
      <c r="C592" s="8" t="s">
        <v>3863</v>
      </c>
      <c r="D592" s="9" t="s">
        <v>3864</v>
      </c>
      <c r="E592" s="10" t="str">
        <f>HYPERLINK("https://twitter.com/Elradical22/status/1065686916006363137","1065686916006363137")</f>
        <v>1065686916006363137</v>
      </c>
      <c r="F592" s="11"/>
      <c r="G592" s="11"/>
      <c r="H592" s="11"/>
      <c r="I592" s="12">
        <v>0</v>
      </c>
      <c r="J592" s="12">
        <v>0</v>
      </c>
      <c r="K592" s="13" t="str">
        <f t="shared" si="129"/>
        <v>Twitter for iPhone</v>
      </c>
      <c r="L592" s="12">
        <v>1352</v>
      </c>
      <c r="M592" s="12">
        <v>1220</v>
      </c>
      <c r="N592" s="12">
        <v>3</v>
      </c>
      <c r="O592" s="15"/>
      <c r="P592" s="6">
        <v>40644.672488425924</v>
      </c>
      <c r="Q592" s="11"/>
      <c r="R592" s="17" t="s">
        <v>3865</v>
      </c>
      <c r="S592" s="11"/>
      <c r="T592" s="11"/>
      <c r="U592" s="10" t="str">
        <f>HYPERLINK("https://pbs.twimg.com/profile_images/554031388195061760/LcA9hjGv.jpeg","View")</f>
        <v>View</v>
      </c>
    </row>
    <row r="593" spans="1:21" ht="20.399999999999999">
      <c r="A593" s="6">
        <v>43426.471643518518</v>
      </c>
      <c r="B593" s="7" t="str">
        <f>HYPERLINK("https://twitter.com/DavidPinoG","@DavidPinoG")</f>
        <v>@DavidPinoG</v>
      </c>
      <c r="C593" s="8" t="s">
        <v>3866</v>
      </c>
      <c r="D593" s="9" t="s">
        <v>3867</v>
      </c>
      <c r="E593" s="10" t="str">
        <f>HYPERLINK("https://twitter.com/DavidPinoG/status/1065686143214239744","1065686143214239744")</f>
        <v>1065686143214239744</v>
      </c>
      <c r="F593" s="14" t="s">
        <v>3869</v>
      </c>
      <c r="G593" s="11"/>
      <c r="H593" s="11"/>
      <c r="I593" s="12">
        <v>1</v>
      </c>
      <c r="J593" s="12">
        <v>0</v>
      </c>
      <c r="K593" s="13" t="str">
        <f>HYPERLINK("http://www.crowdfireapp.com","Crowdfire - Go Big")</f>
        <v>Crowdfire - Go Big</v>
      </c>
      <c r="L593" s="12">
        <v>4899</v>
      </c>
      <c r="M593" s="12">
        <v>4366</v>
      </c>
      <c r="N593" s="12">
        <v>31</v>
      </c>
      <c r="O593" s="15"/>
      <c r="P593" s="6">
        <v>41959.262708333335</v>
      </c>
      <c r="Q593" s="16" t="s">
        <v>3872</v>
      </c>
      <c r="R593" s="17" t="s">
        <v>3873</v>
      </c>
      <c r="S593" s="14" t="s">
        <v>3874</v>
      </c>
      <c r="T593" s="11"/>
      <c r="U593" s="10" t="str">
        <f>HYPERLINK("https://pbs.twimg.com/profile_images/987001791425507333/F-6SEY6d.jpg","View")</f>
        <v>View</v>
      </c>
    </row>
    <row r="594" spans="1:21" ht="51">
      <c r="A594" s="6">
        <v>43426.469293981485</v>
      </c>
      <c r="B594" s="7" t="str">
        <f>HYPERLINK("https://twitter.com/PdeSamos","@PdeSamos")</f>
        <v>@PdeSamos</v>
      </c>
      <c r="C594" s="8" t="s">
        <v>3877</v>
      </c>
      <c r="D594" s="9" t="s">
        <v>3878</v>
      </c>
      <c r="E594" s="10" t="str">
        <f>HYPERLINK("https://twitter.com/PdeSamos/status/1065685289732136968","1065685289732136968")</f>
        <v>1065685289732136968</v>
      </c>
      <c r="F594" s="14" t="s">
        <v>3879</v>
      </c>
      <c r="G594" s="11"/>
      <c r="H594" s="11"/>
      <c r="I594" s="12">
        <v>0</v>
      </c>
      <c r="J594" s="12">
        <v>0</v>
      </c>
      <c r="K594" s="13" t="str">
        <f>HYPERLINK("http://republico.ddns.net","App Libertad PdeSamos")</f>
        <v>App Libertad PdeSamos</v>
      </c>
      <c r="L594" s="12">
        <v>5283</v>
      </c>
      <c r="M594" s="12">
        <v>5301</v>
      </c>
      <c r="N594" s="12">
        <v>12</v>
      </c>
      <c r="O594" s="15"/>
      <c r="P594" s="6">
        <v>42889.445567129631</v>
      </c>
      <c r="Q594" s="16" t="s">
        <v>3881</v>
      </c>
      <c r="R594" s="17" t="s">
        <v>3882</v>
      </c>
      <c r="S594" s="11"/>
      <c r="T594" s="11"/>
      <c r="U594" s="10" t="str">
        <f>HYPERLINK("https://pbs.twimg.com/profile_images/871063742003511296/xK2IYbrO.jpg","View")</f>
        <v>View</v>
      </c>
    </row>
    <row r="595" spans="1:21" ht="51">
      <c r="A595" s="6">
        <v>43426.469270833331</v>
      </c>
      <c r="B595" s="7" t="str">
        <f>HYPERLINK("https://twitter.com/TercioHispanico","@TercioHispanico")</f>
        <v>@TercioHispanico</v>
      </c>
      <c r="C595" s="8" t="s">
        <v>3885</v>
      </c>
      <c r="D595" s="9" t="s">
        <v>3878</v>
      </c>
      <c r="E595" s="10" t="str">
        <f>HYPERLINK("https://twitter.com/TercioHispanico/status/1065685283067305984","1065685283067305984")</f>
        <v>1065685283067305984</v>
      </c>
      <c r="F595" s="14" t="s">
        <v>3879</v>
      </c>
      <c r="G595" s="11"/>
      <c r="H595" s="11"/>
      <c r="I595" s="12">
        <v>0</v>
      </c>
      <c r="J595" s="12">
        <v>0</v>
      </c>
      <c r="K595" s="13" t="str">
        <f>HYPERLINK("https://diariorc.com","Tercio Hispánico App C")</f>
        <v>Tercio Hispánico App C</v>
      </c>
      <c r="L595" s="12">
        <v>1463</v>
      </c>
      <c r="M595" s="12">
        <v>1448</v>
      </c>
      <c r="N595" s="12">
        <v>3</v>
      </c>
      <c r="O595" s="15"/>
      <c r="P595" s="6">
        <v>43074.442384259259</v>
      </c>
      <c r="Q595" s="16" t="s">
        <v>28</v>
      </c>
      <c r="R595" s="17" t="s">
        <v>3888</v>
      </c>
      <c r="S595" s="11"/>
      <c r="T595" s="11"/>
      <c r="U595" s="10" t="str">
        <f>HYPERLINK("https://pbs.twimg.com/profile_images/938810411045941249/GJ1yq9OJ.jpg","View")</f>
        <v>View</v>
      </c>
    </row>
    <row r="596" spans="1:21" ht="51">
      <c r="A596" s="6">
        <v>43426.466585648144</v>
      </c>
      <c r="B596" s="7" t="str">
        <f>HYPERLINK("https://twitter.com/AdeSiracusa","@AdeSiracusa")</f>
        <v>@AdeSiracusa</v>
      </c>
      <c r="C596" s="8" t="s">
        <v>3890</v>
      </c>
      <c r="D596" s="9" t="s">
        <v>3878</v>
      </c>
      <c r="E596" s="10" t="str">
        <f>HYPERLINK("https://twitter.com/AdeSiracusa/status/1065684310148165634","1065684310148165634")</f>
        <v>1065684310148165634</v>
      </c>
      <c r="F596" s="14" t="s">
        <v>3879</v>
      </c>
      <c r="G596" s="11"/>
      <c r="H596" s="11"/>
      <c r="I596" s="12">
        <v>1</v>
      </c>
      <c r="J596" s="12">
        <v>1</v>
      </c>
      <c r="K596" s="13" t="str">
        <f>HYPERLINK("http://www.republicosvenezuela.com/","AdeSiracusa")</f>
        <v>AdeSiracusa</v>
      </c>
      <c r="L596" s="12">
        <v>3920</v>
      </c>
      <c r="M596" s="12">
        <v>3927</v>
      </c>
      <c r="N596" s="12">
        <v>12</v>
      </c>
      <c r="O596" s="15"/>
      <c r="P596" s="6">
        <v>42958.201388888891</v>
      </c>
      <c r="Q596" s="16" t="s">
        <v>3893</v>
      </c>
      <c r="R596" s="17" t="s">
        <v>3894</v>
      </c>
      <c r="S596" s="11"/>
      <c r="T596" s="11"/>
      <c r="U596" s="10" t="str">
        <f>HYPERLINK("https://pbs.twimg.com/profile_images/895978354591105024/x2wNXrPl.jpg","View")</f>
        <v>View</v>
      </c>
    </row>
    <row r="597" spans="1:21" ht="51">
      <c r="A597" s="6">
        <v>43426.465462962966</v>
      </c>
      <c r="B597" s="7" t="str">
        <f>HYPERLINK("https://twitter.com/PBMarbeMalaga","@PBMarbeMalaga")</f>
        <v>@PBMarbeMalaga</v>
      </c>
      <c r="C597" s="8" t="s">
        <v>3898</v>
      </c>
      <c r="D597" s="9" t="s">
        <v>3878</v>
      </c>
      <c r="E597" s="10" t="str">
        <f>HYPERLINK("https://twitter.com/PBMarbeMalaga/status/1065683904089214976","1065683904089214976")</f>
        <v>1065683904089214976</v>
      </c>
      <c r="F597" s="14" t="s">
        <v>3879</v>
      </c>
      <c r="G597" s="11"/>
      <c r="H597" s="11"/>
      <c r="I597" s="12">
        <v>0</v>
      </c>
      <c r="J597" s="12">
        <v>0</v>
      </c>
      <c r="K597" s="13" t="str">
        <f>HYPERLINK("https://javitang.ddns.net","PBMarbeMalaga")</f>
        <v>PBMarbeMalaga</v>
      </c>
      <c r="L597" s="12">
        <v>1222</v>
      </c>
      <c r="M597" s="12">
        <v>1245</v>
      </c>
      <c r="N597" s="12">
        <v>2</v>
      </c>
      <c r="O597" s="15"/>
      <c r="P597" s="6">
        <v>43149.439074074078</v>
      </c>
      <c r="Q597" s="16" t="s">
        <v>3899</v>
      </c>
      <c r="R597" s="17" t="s">
        <v>3900</v>
      </c>
      <c r="S597" s="11"/>
      <c r="T597" s="11"/>
      <c r="U597" s="10" t="str">
        <f>HYPERLINK("https://pbs.twimg.com/profile_images/965296691145531392/sAFnfUu2.jpg","View")</f>
        <v>View</v>
      </c>
    </row>
    <row r="598" spans="1:21" ht="40.799999999999997">
      <c r="A598" s="6">
        <v>43426.46539351852</v>
      </c>
      <c r="B598" s="7" t="str">
        <f>HYPERLINK("https://twitter.com/lextresabogados","@lextresabogados")</f>
        <v>@lextresabogados</v>
      </c>
      <c r="C598" s="8" t="s">
        <v>1806</v>
      </c>
      <c r="D598" s="9" t="s">
        <v>3132</v>
      </c>
      <c r="E598" s="10" t="str">
        <f>HYPERLINK("https://twitter.com/lextresabogados/status/1065683877715419136","1065683877715419136")</f>
        <v>1065683877715419136</v>
      </c>
      <c r="F598" s="14" t="s">
        <v>3905</v>
      </c>
      <c r="G598" s="14" t="s">
        <v>3906</v>
      </c>
      <c r="H598" s="11"/>
      <c r="I598" s="12">
        <v>0</v>
      </c>
      <c r="J598" s="12">
        <v>0</v>
      </c>
      <c r="K598" s="13" t="str">
        <f>HYPERLINK("http://35.180.36.179","botize nueva")</f>
        <v>botize nueva</v>
      </c>
      <c r="L598" s="12">
        <v>2230</v>
      </c>
      <c r="M598" s="12">
        <v>3277</v>
      </c>
      <c r="N598" s="12">
        <v>22</v>
      </c>
      <c r="O598" s="15"/>
      <c r="P598" s="6">
        <v>42880.395949074074</v>
      </c>
      <c r="Q598" s="16" t="s">
        <v>123</v>
      </c>
      <c r="R598" s="17" t="s">
        <v>1810</v>
      </c>
      <c r="S598" s="14" t="s">
        <v>1811</v>
      </c>
      <c r="T598" s="11"/>
      <c r="U598" s="10" t="str">
        <f>HYPERLINK("https://pbs.twimg.com/profile_images/1058352229546164224/xnNCczNu.jpg","View")</f>
        <v>View</v>
      </c>
    </row>
    <row r="599" spans="1:21" ht="102">
      <c r="A599" s="6">
        <v>43426.464814814812</v>
      </c>
      <c r="B599" s="7" t="str">
        <f>HYPERLINK("https://twitter.com/Rober_Alcaz","@Rober_Alcaz")</f>
        <v>@Rober_Alcaz</v>
      </c>
      <c r="C599" s="8" t="s">
        <v>1488</v>
      </c>
      <c r="D599" s="9" t="s">
        <v>1489</v>
      </c>
      <c r="E599" s="10" t="str">
        <f>HYPERLINK("https://twitter.com/Rober_Alcaz/status/1065683668046364673","1065683668046364673")</f>
        <v>1065683668046364673</v>
      </c>
      <c r="F599" s="16" t="s">
        <v>1490</v>
      </c>
      <c r="G599" s="11"/>
      <c r="H599" s="11"/>
      <c r="I599" s="12">
        <v>0</v>
      </c>
      <c r="J599" s="12">
        <v>2</v>
      </c>
      <c r="K599" s="13" t="str">
        <f>HYPERLINK("http://twitter.com","Twitter Web Client")</f>
        <v>Twitter Web Client</v>
      </c>
      <c r="L599" s="12">
        <v>1139</v>
      </c>
      <c r="M599" s="12">
        <v>1166</v>
      </c>
      <c r="N599" s="12">
        <v>9</v>
      </c>
      <c r="O599" s="15"/>
      <c r="P599" s="6">
        <v>42700.413993055554</v>
      </c>
      <c r="Q599" s="11"/>
      <c r="R599" s="17" t="s">
        <v>1491</v>
      </c>
      <c r="S599" s="11"/>
      <c r="T599" s="11"/>
      <c r="U599" s="10" t="str">
        <f>HYPERLINK("https://pbs.twimg.com/profile_images/804448079604809728/z4q3NnYD.jpg","View")</f>
        <v>View</v>
      </c>
    </row>
    <row r="600" spans="1:21" ht="30.6">
      <c r="A600" s="6">
        <v>43426.463391203702</v>
      </c>
      <c r="B600" s="7" t="str">
        <f>HYPERLINK("https://twitter.com/jvelardediego","@jvelardediego")</f>
        <v>@jvelardediego</v>
      </c>
      <c r="C600" s="8" t="s">
        <v>3915</v>
      </c>
      <c r="D600" s="9" t="s">
        <v>3916</v>
      </c>
      <c r="E600" s="10" t="str">
        <f>HYPERLINK("https://twitter.com/jvelardediego/status/1065683152906174464","1065683152906174464")</f>
        <v>1065683152906174464</v>
      </c>
      <c r="F600" s="14" t="s">
        <v>529</v>
      </c>
      <c r="G600" s="11"/>
      <c r="H600" s="11"/>
      <c r="I600" s="12">
        <v>0</v>
      </c>
      <c r="J600" s="12">
        <v>0</v>
      </c>
      <c r="K600" s="13" t="str">
        <f t="shared" ref="K600:K602" si="130">HYPERLINK("http://twitter.com/download/android","Twitter for Android")</f>
        <v>Twitter for Android</v>
      </c>
      <c r="L600" s="12">
        <v>1700</v>
      </c>
      <c r="M600" s="12">
        <v>3121</v>
      </c>
      <c r="N600" s="12">
        <v>63</v>
      </c>
      <c r="O600" s="15"/>
      <c r="P600" s="6">
        <v>40505.73159722222</v>
      </c>
      <c r="Q600" s="16" t="s">
        <v>3917</v>
      </c>
      <c r="R600" s="17" t="s">
        <v>3918</v>
      </c>
      <c r="S600" s="14" t="s">
        <v>3919</v>
      </c>
      <c r="T600" s="11"/>
      <c r="U600" s="10" t="str">
        <f>HYPERLINK("https://pbs.twimg.com/profile_images/1052614294003544064/EJV32BAf.jpg","View")</f>
        <v>View</v>
      </c>
    </row>
    <row r="601" spans="1:21" ht="20.399999999999999">
      <c r="A601" s="6">
        <v>43426.461793981478</v>
      </c>
      <c r="B601" s="7" t="str">
        <f>HYPERLINK("https://twitter.com/inigortizguzman","@inigortizguzman")</f>
        <v>@inigortizguzman</v>
      </c>
      <c r="C601" s="8" t="s">
        <v>3922</v>
      </c>
      <c r="D601" s="9" t="s">
        <v>768</v>
      </c>
      <c r="E601" s="10" t="str">
        <f>HYPERLINK("https://twitter.com/inigortizguzman/status/1065682572909387776","1065682572909387776")</f>
        <v>1065682572909387776</v>
      </c>
      <c r="F601" s="14" t="s">
        <v>529</v>
      </c>
      <c r="G601" s="11"/>
      <c r="H601" s="11"/>
      <c r="I601" s="12">
        <v>0</v>
      </c>
      <c r="J601" s="12">
        <v>0</v>
      </c>
      <c r="K601" s="13" t="str">
        <f t="shared" si="130"/>
        <v>Twitter for Android</v>
      </c>
      <c r="L601" s="12">
        <v>73</v>
      </c>
      <c r="M601" s="12">
        <v>605</v>
      </c>
      <c r="N601" s="12">
        <v>3</v>
      </c>
      <c r="O601" s="15"/>
      <c r="P601" s="6">
        <v>39365.242835648147</v>
      </c>
      <c r="Q601" s="16" t="s">
        <v>3925</v>
      </c>
      <c r="R601" s="17" t="s">
        <v>3926</v>
      </c>
      <c r="S601" s="14" t="s">
        <v>3927</v>
      </c>
      <c r="T601" s="11"/>
      <c r="U601" s="10" t="str">
        <f>HYPERLINK("https://pbs.twimg.com/profile_images/632541882099343360/RNmbiz7z.jpg","View")</f>
        <v>View</v>
      </c>
    </row>
    <row r="602" spans="1:21" ht="51">
      <c r="A602" s="6">
        <v>43426.460868055554</v>
      </c>
      <c r="B602" s="7" t="str">
        <f>HYPERLINK("https://twitter.com/ReferendumUAM","@ReferendumUAM")</f>
        <v>@ReferendumUAM</v>
      </c>
      <c r="C602" s="8" t="s">
        <v>1492</v>
      </c>
      <c r="D602" s="9" t="s">
        <v>1493</v>
      </c>
      <c r="E602" s="10" t="str">
        <f>HYPERLINK("https://twitter.com/ReferendumUAM/status/1065682239164424194","1065682239164424194")</f>
        <v>1065682239164424194</v>
      </c>
      <c r="F602" s="14" t="s">
        <v>96</v>
      </c>
      <c r="G602" s="11"/>
      <c r="H602" s="11"/>
      <c r="I602" s="12">
        <v>8</v>
      </c>
      <c r="J602" s="12">
        <v>14</v>
      </c>
      <c r="K602" s="13" t="str">
        <f t="shared" si="130"/>
        <v>Twitter for Android</v>
      </c>
      <c r="L602" s="12">
        <v>1054</v>
      </c>
      <c r="M602" s="12">
        <v>295</v>
      </c>
      <c r="N602" s="12">
        <v>4</v>
      </c>
      <c r="O602" s="15"/>
      <c r="P602" s="6">
        <v>43393.185960648145</v>
      </c>
      <c r="Q602" s="16" t="s">
        <v>493</v>
      </c>
      <c r="R602" s="17" t="s">
        <v>1494</v>
      </c>
      <c r="S602" s="11"/>
      <c r="T602" s="11"/>
      <c r="U602" s="10" t="str">
        <f>HYPERLINK("https://pbs.twimg.com/profile_images/1054384453097873409/1ETZxTag.jpg","View")</f>
        <v>View</v>
      </c>
    </row>
    <row r="603" spans="1:21" ht="40.799999999999997">
      <c r="A603" s="6">
        <v>43426.459722222222</v>
      </c>
      <c r="B603" s="7" t="str">
        <f>HYPERLINK("https://twitter.com/bitMomentum","@bitMomentum")</f>
        <v>@bitMomentum</v>
      </c>
      <c r="C603" s="8" t="s">
        <v>1033</v>
      </c>
      <c r="D603" s="9" t="s">
        <v>1495</v>
      </c>
      <c r="E603" s="10" t="str">
        <f>HYPERLINK("https://twitter.com/bitMomentum/status/1065681820841332736","1065681820841332736")</f>
        <v>1065681820841332736</v>
      </c>
      <c r="F603" s="11"/>
      <c r="G603" s="11"/>
      <c r="H603" s="11"/>
      <c r="I603" s="12">
        <v>0</v>
      </c>
      <c r="J603" s="12">
        <v>0</v>
      </c>
      <c r="K603" s="13" t="str">
        <f>HYPERLINK("http://www.bitmomentum.com","bitMomentum Bot")</f>
        <v>bitMomentum Bot</v>
      </c>
      <c r="L603" s="12">
        <v>10132</v>
      </c>
      <c r="M603" s="12">
        <v>1060</v>
      </c>
      <c r="N603" s="12">
        <v>267</v>
      </c>
      <c r="O603" s="15"/>
      <c r="P603" s="6">
        <v>41608.292511574073</v>
      </c>
      <c r="Q603" s="11"/>
      <c r="R603" s="17" t="s">
        <v>1038</v>
      </c>
      <c r="S603" s="14" t="s">
        <v>1039</v>
      </c>
      <c r="T603" s="11"/>
      <c r="U603" s="10" t="str">
        <f>HYPERLINK("https://pbs.twimg.com/profile_images/378800000862185241/20ij2H3u.png","View")</f>
        <v>View</v>
      </c>
    </row>
    <row r="604" spans="1:21" ht="40.799999999999997">
      <c r="A604" s="6">
        <v>43426.457500000004</v>
      </c>
      <c r="B604" s="7" t="str">
        <f>HYPERLINK("https://twitter.com/caval100","@caval100")</f>
        <v>@caval100</v>
      </c>
      <c r="C604" s="8" t="s">
        <v>1789</v>
      </c>
      <c r="D604" s="9" t="s">
        <v>3935</v>
      </c>
      <c r="E604" s="10" t="str">
        <f>HYPERLINK("https://twitter.com/caval100/status/1065681015430094848","1065681015430094848")</f>
        <v>1065681015430094848</v>
      </c>
      <c r="F604" s="14" t="s">
        <v>3087</v>
      </c>
      <c r="G604" s="14" t="s">
        <v>2474</v>
      </c>
      <c r="H604" s="11"/>
      <c r="I604" s="12">
        <v>6</v>
      </c>
      <c r="J604" s="12">
        <v>4</v>
      </c>
      <c r="K604" s="13" t="str">
        <f>HYPERLINK("http://twitter.com/download/android","Twitter for Android")</f>
        <v>Twitter for Android</v>
      </c>
      <c r="L604" s="12">
        <v>119224</v>
      </c>
      <c r="M604" s="12">
        <v>94076</v>
      </c>
      <c r="N604" s="12">
        <v>980</v>
      </c>
      <c r="O604" s="15"/>
      <c r="P604" s="6">
        <v>40079.062094907407</v>
      </c>
      <c r="Q604" s="16" t="s">
        <v>475</v>
      </c>
      <c r="R604" s="17" t="s">
        <v>1793</v>
      </c>
      <c r="S604" s="14" t="s">
        <v>1795</v>
      </c>
      <c r="T604" s="11"/>
      <c r="U604" s="10" t="str">
        <f>HYPERLINK("https://pbs.twimg.com/profile_images/965350678301429760/uvGI7g8U.jpg","View")</f>
        <v>View</v>
      </c>
    </row>
    <row r="605" spans="1:21" ht="61.2">
      <c r="A605" s="6">
        <v>43426.455717592587</v>
      </c>
      <c r="B605" s="7" t="str">
        <f>HYPERLINK("https://twitter.com/nierere","@nierere")</f>
        <v>@nierere</v>
      </c>
      <c r="C605" s="8" t="s">
        <v>3939</v>
      </c>
      <c r="D605" s="9" t="s">
        <v>3940</v>
      </c>
      <c r="E605" s="10" t="str">
        <f>HYPERLINK("https://twitter.com/nierere/status/1065680369796681729","1065680369796681729")</f>
        <v>1065680369796681729</v>
      </c>
      <c r="F605" s="16" t="s">
        <v>3942</v>
      </c>
      <c r="G605" s="11"/>
      <c r="H605" s="11"/>
      <c r="I605" s="12">
        <v>0</v>
      </c>
      <c r="J605" s="12">
        <v>1</v>
      </c>
      <c r="K605" s="13" t="str">
        <f t="shared" ref="K605:K606" si="131">HYPERLINK("http://twitter.com","Twitter Web Client")</f>
        <v>Twitter Web Client</v>
      </c>
      <c r="L605" s="12">
        <v>675</v>
      </c>
      <c r="M605" s="12">
        <v>545</v>
      </c>
      <c r="N605" s="12">
        <v>66</v>
      </c>
      <c r="O605" s="15"/>
      <c r="P605" s="6">
        <v>40037.81417824074</v>
      </c>
      <c r="Q605" s="16" t="s">
        <v>132</v>
      </c>
      <c r="R605" s="17" t="s">
        <v>3943</v>
      </c>
      <c r="S605" s="11"/>
      <c r="T605" s="11"/>
      <c r="U605" s="10" t="str">
        <f>HYPERLINK("https://pbs.twimg.com/profile_images/900854695/make_love__not_war_by_vallanthe.jpg","View")</f>
        <v>View</v>
      </c>
    </row>
    <row r="606" spans="1:21" ht="20.399999999999999">
      <c r="A606" s="6">
        <v>43426.455671296295</v>
      </c>
      <c r="B606" s="7" t="str">
        <f>HYPERLINK("https://twitter.com/RositaMarrero","@RositaMarrero")</f>
        <v>@RositaMarrero</v>
      </c>
      <c r="C606" s="8" t="s">
        <v>3946</v>
      </c>
      <c r="D606" s="9" t="s">
        <v>2895</v>
      </c>
      <c r="E606" s="10" t="str">
        <f>HYPERLINK("https://twitter.com/RositaMarrero/status/1065680354449731585","1065680354449731585")</f>
        <v>1065680354449731585</v>
      </c>
      <c r="F606" s="14" t="s">
        <v>529</v>
      </c>
      <c r="G606" s="11"/>
      <c r="H606" s="11"/>
      <c r="I606" s="12">
        <v>0</v>
      </c>
      <c r="J606" s="12">
        <v>0</v>
      </c>
      <c r="K606" s="13" t="str">
        <f t="shared" si="131"/>
        <v>Twitter Web Client</v>
      </c>
      <c r="L606" s="12">
        <v>5738</v>
      </c>
      <c r="M606" s="12">
        <v>777</v>
      </c>
      <c r="N606" s="12">
        <v>83</v>
      </c>
      <c r="O606" s="15"/>
      <c r="P606" s="6">
        <v>40428.485405092593</v>
      </c>
      <c r="Q606" s="16" t="s">
        <v>3949</v>
      </c>
      <c r="R606" s="17" t="s">
        <v>3950</v>
      </c>
      <c r="S606" s="11"/>
      <c r="T606" s="11"/>
      <c r="U606" s="10" t="str">
        <f>HYPERLINK("https://pbs.twimg.com/profile_images/546018798872981504/eHSj5IUy.jpeg","View")</f>
        <v>View</v>
      </c>
    </row>
    <row r="607" spans="1:21" ht="20.399999999999999">
      <c r="A607" s="6">
        <v>43426.454293981486</v>
      </c>
      <c r="B607" s="7" t="str">
        <f>HYPERLINK("https://twitter.com/GabaTdelA","@GabaTdelA")</f>
        <v>@GabaTdelA</v>
      </c>
      <c r="C607" s="8" t="s">
        <v>3952</v>
      </c>
      <c r="D607" s="9" t="s">
        <v>3953</v>
      </c>
      <c r="E607" s="10" t="str">
        <f>HYPERLINK("https://twitter.com/GabaTdelA/status/1065679853435928576","1065679853435928576")</f>
        <v>1065679853435928576</v>
      </c>
      <c r="F607" s="16" t="s">
        <v>3954</v>
      </c>
      <c r="G607" s="11"/>
      <c r="H607" s="11"/>
      <c r="I607" s="12">
        <v>0</v>
      </c>
      <c r="J607" s="12">
        <v>2</v>
      </c>
      <c r="K607" s="13" t="str">
        <f>HYPERLINK("http://twitter.com/download/iphone","Twitter for iPhone")</f>
        <v>Twitter for iPhone</v>
      </c>
      <c r="L607" s="12">
        <v>25</v>
      </c>
      <c r="M607" s="12">
        <v>145</v>
      </c>
      <c r="N607" s="12">
        <v>0</v>
      </c>
      <c r="O607" s="15"/>
      <c r="P607" s="6">
        <v>41332.491099537037</v>
      </c>
      <c r="Q607" s="11"/>
      <c r="R607" s="19"/>
      <c r="S607" s="11"/>
      <c r="T607" s="11"/>
      <c r="U607" s="10" t="str">
        <f>HYPERLINK("https://pbs.twimg.com/profile_images/3316940774/5311ef8e90fda6b70ffb00810484e044.jpeg","View")</f>
        <v>View</v>
      </c>
    </row>
    <row r="608" spans="1:21" ht="40.799999999999997">
      <c r="A608" s="6">
        <v>43426.454282407409</v>
      </c>
      <c r="B608" s="7" t="str">
        <f>HYPERLINK("https://twitter.com/Violent95954208","@Violent95954208")</f>
        <v>@Violent95954208</v>
      </c>
      <c r="C608" s="8" t="s">
        <v>3956</v>
      </c>
      <c r="D608" s="9" t="s">
        <v>3957</v>
      </c>
      <c r="E608" s="10" t="str">
        <f>HYPERLINK("https://twitter.com/Violent95954208/status/1065679850680274944","1065679850680274944")</f>
        <v>1065679850680274944</v>
      </c>
      <c r="F608" s="11"/>
      <c r="G608" s="11"/>
      <c r="H608" s="11"/>
      <c r="I608" s="12">
        <v>1</v>
      </c>
      <c r="J608" s="12">
        <v>0</v>
      </c>
      <c r="K608" s="13" t="str">
        <f>HYPERLINK("http://twitter.com/download/android","Twitter for Android")</f>
        <v>Twitter for Android</v>
      </c>
      <c r="L608" s="12">
        <v>562</v>
      </c>
      <c r="M608" s="12">
        <v>1893</v>
      </c>
      <c r="N608" s="12">
        <v>0</v>
      </c>
      <c r="O608" s="15"/>
      <c r="P608" s="6">
        <v>43114.234907407408</v>
      </c>
      <c r="Q608" s="11"/>
      <c r="R608" s="17" t="s">
        <v>3958</v>
      </c>
      <c r="S608" s="11"/>
      <c r="T608" s="11"/>
      <c r="U608" s="10" t="str">
        <f>HYPERLINK("https://pbs.twimg.com/profile_images/952604586359050240/mtEEzd1n.jpg","View")</f>
        <v>View</v>
      </c>
    </row>
    <row r="609" spans="1:21" ht="20.399999999999999">
      <c r="A609" s="6">
        <v>43426.45248842593</v>
      </c>
      <c r="B609" s="7" t="str">
        <f>HYPERLINK("https://twitter.com/Icunde_67","@Icunde_67")</f>
        <v>@Icunde_67</v>
      </c>
      <c r="C609" s="8" t="s">
        <v>3960</v>
      </c>
      <c r="D609" s="9" t="s">
        <v>3961</v>
      </c>
      <c r="E609" s="10" t="str">
        <f>HYPERLINK("https://twitter.com/Icunde_67/status/1065679199476871169","1065679199476871169")</f>
        <v>1065679199476871169</v>
      </c>
      <c r="F609" s="14" t="s">
        <v>2481</v>
      </c>
      <c r="G609" s="11"/>
      <c r="H609" s="11"/>
      <c r="I609" s="12">
        <v>0</v>
      </c>
      <c r="J609" s="12">
        <v>0</v>
      </c>
      <c r="K609" s="13" t="str">
        <f>HYPERLINK("http://twitter.com","Twitter Web Client")</f>
        <v>Twitter Web Client</v>
      </c>
      <c r="L609" s="12">
        <v>3018</v>
      </c>
      <c r="M609" s="12">
        <v>2933</v>
      </c>
      <c r="N609" s="12">
        <v>57</v>
      </c>
      <c r="O609" s="15"/>
      <c r="P609" s="6">
        <v>41337.250509259262</v>
      </c>
      <c r="Q609" s="16" t="s">
        <v>406</v>
      </c>
      <c r="R609" s="19"/>
      <c r="S609" s="11"/>
      <c r="T609" s="11"/>
      <c r="U609" s="10" t="str">
        <f>HYPERLINK("https://pbs.twimg.com/profile_images/3433288835/ddf48551b37514135c1663e873eab7e1.jpeg","View")</f>
        <v>View</v>
      </c>
    </row>
    <row r="610" spans="1:21" ht="20.399999999999999">
      <c r="A610" s="6">
        <v>43426.452256944445</v>
      </c>
      <c r="B610" s="7" t="str">
        <f>HYPERLINK("https://twitter.com/insurgente_org","@insurgente_org")</f>
        <v>@insurgente_org</v>
      </c>
      <c r="C610" s="22" t="s">
        <v>3963</v>
      </c>
      <c r="D610" s="9" t="s">
        <v>3966</v>
      </c>
      <c r="E610" s="10" t="str">
        <f>HYPERLINK("https://twitter.com/insurgente_org/status/1065679118493196288","1065679118493196288")</f>
        <v>1065679118493196288</v>
      </c>
      <c r="F610" s="14" t="s">
        <v>3969</v>
      </c>
      <c r="G610" s="14" t="s">
        <v>3970</v>
      </c>
      <c r="H610" s="11"/>
      <c r="I610" s="12">
        <v>0</v>
      </c>
      <c r="J610" s="12">
        <v>0</v>
      </c>
      <c r="K610" s="13" t="str">
        <f>HYPERLINK("https://ifttt.com","IFTTT")</f>
        <v>IFTTT</v>
      </c>
      <c r="L610" s="12">
        <v>7510</v>
      </c>
      <c r="M610" s="12">
        <v>15</v>
      </c>
      <c r="N610" s="12">
        <v>207</v>
      </c>
      <c r="O610" s="15"/>
      <c r="P610" s="6">
        <v>40862.414340277777</v>
      </c>
      <c r="Q610" s="11"/>
      <c r="R610" s="19"/>
      <c r="S610" s="14" t="s">
        <v>3973</v>
      </c>
      <c r="T610" s="11"/>
      <c r="U610" s="10" t="str">
        <f>HYPERLINK("https://pbs.twimg.com/profile_images/1653368787/logo.png","View")</f>
        <v>View</v>
      </c>
    </row>
    <row r="611" spans="1:21" ht="40.799999999999997">
      <c r="A611" s="6">
        <v>43426.451886574076</v>
      </c>
      <c r="B611" s="7" t="str">
        <f>HYPERLINK("https://twitter.com/CP_El_Escorial","@CP_El_Escorial")</f>
        <v>@CP_El_Escorial</v>
      </c>
      <c r="C611" s="8" t="s">
        <v>3974</v>
      </c>
      <c r="D611" s="9" t="s">
        <v>3975</v>
      </c>
      <c r="E611" s="10" t="str">
        <f>HYPERLINK("https://twitter.com/CP_El_Escorial/status/1065678981050130433","1065678981050130433")</f>
        <v>1065678981050130433</v>
      </c>
      <c r="F611" s="14" t="s">
        <v>96</v>
      </c>
      <c r="G611" s="11"/>
      <c r="H611" s="11"/>
      <c r="I611" s="12">
        <v>1</v>
      </c>
      <c r="J611" s="12">
        <v>1</v>
      </c>
      <c r="K611" s="13" t="str">
        <f t="shared" ref="K611:K612" si="132">HYPERLINK("http://twitter.com/download/android","Twitter for Android")</f>
        <v>Twitter for Android</v>
      </c>
      <c r="L611" s="12">
        <v>41</v>
      </c>
      <c r="M611" s="12">
        <v>72</v>
      </c>
      <c r="N611" s="12">
        <v>0</v>
      </c>
      <c r="O611" s="15"/>
      <c r="P611" s="6">
        <v>42324.472928240742</v>
      </c>
      <c r="Q611" s="16" t="s">
        <v>3980</v>
      </c>
      <c r="R611" s="17" t="s">
        <v>3981</v>
      </c>
      <c r="S611" s="14" t="s">
        <v>3982</v>
      </c>
      <c r="T611" s="11"/>
      <c r="U611" s="10" t="str">
        <f>HYPERLINK("https://pbs.twimg.com/profile_images/1064812536820899840/WXd-eK_k.jpg","View")</f>
        <v>View</v>
      </c>
    </row>
    <row r="612" spans="1:21" ht="30.6">
      <c r="A612" s="6">
        <v>43426.451608796298</v>
      </c>
      <c r="B612" s="7" t="str">
        <f>HYPERLINK("https://twitter.com/caencomonueces","@caencomonueces")</f>
        <v>@caencomonueces</v>
      </c>
      <c r="C612" s="8" t="s">
        <v>3983</v>
      </c>
      <c r="D612" s="9" t="s">
        <v>3984</v>
      </c>
      <c r="E612" s="10" t="str">
        <f>HYPERLINK("https://twitter.com/caencomonueces/status/1065678880697143296","1065678880697143296")</f>
        <v>1065678880697143296</v>
      </c>
      <c r="F612" s="14" t="s">
        <v>2481</v>
      </c>
      <c r="G612" s="11"/>
      <c r="H612" s="11"/>
      <c r="I612" s="12">
        <v>1</v>
      </c>
      <c r="J612" s="12">
        <v>1</v>
      </c>
      <c r="K612" s="13" t="str">
        <f t="shared" si="132"/>
        <v>Twitter for Android</v>
      </c>
      <c r="L612" s="12">
        <v>629</v>
      </c>
      <c r="M612" s="12">
        <v>1153</v>
      </c>
      <c r="N612" s="12">
        <v>3</v>
      </c>
      <c r="O612" s="15"/>
      <c r="P612" s="6">
        <v>41242.426539351851</v>
      </c>
      <c r="Q612" s="16" t="s">
        <v>27</v>
      </c>
      <c r="R612" s="17" t="s">
        <v>3986</v>
      </c>
      <c r="S612" s="11"/>
      <c r="T612" s="11"/>
      <c r="U612" s="10" t="str">
        <f>HYPERLINK("https://pbs.twimg.com/profile_images/802542076420378628/S_52YFJA.jpg","View")</f>
        <v>View</v>
      </c>
    </row>
    <row r="613" spans="1:21" ht="71.400000000000006">
      <c r="A613" s="6">
        <v>43426.450856481482</v>
      </c>
      <c r="B613" s="7" t="str">
        <f>HYPERLINK("https://twitter.com/emfida","@emfida")</f>
        <v>@emfida</v>
      </c>
      <c r="C613" s="8" t="s">
        <v>3987</v>
      </c>
      <c r="D613" s="9" t="s">
        <v>3988</v>
      </c>
      <c r="E613" s="10" t="str">
        <f>HYPERLINK("https://twitter.com/emfida/status/1065678608226750464","1065678608226750464")</f>
        <v>1065678608226750464</v>
      </c>
      <c r="F613" s="14" t="s">
        <v>2003</v>
      </c>
      <c r="G613" s="11"/>
      <c r="H613" s="11"/>
      <c r="I613" s="12">
        <v>0</v>
      </c>
      <c r="J613" s="12">
        <v>0</v>
      </c>
      <c r="K613" s="13" t="str">
        <f>HYPERLINK("http://twitter.com/#!/download/ipad","Twitter for iPad")</f>
        <v>Twitter for iPad</v>
      </c>
      <c r="L613" s="12">
        <v>103</v>
      </c>
      <c r="M613" s="12">
        <v>117</v>
      </c>
      <c r="N613" s="12">
        <v>1</v>
      </c>
      <c r="O613" s="15"/>
      <c r="P613" s="6">
        <v>41362.517546296294</v>
      </c>
      <c r="Q613" s="16" t="s">
        <v>28</v>
      </c>
      <c r="R613" s="17" t="s">
        <v>3991</v>
      </c>
      <c r="S613" s="11"/>
      <c r="T613" s="11"/>
      <c r="U613" s="10" t="str">
        <f>HYPERLINK("https://pbs.twimg.com/profile_images/912401433470828545/6yanE_kP.jpg","View")</f>
        <v>View</v>
      </c>
    </row>
    <row r="614" spans="1:21" ht="40.799999999999997">
      <c r="A614" s="6">
        <v>43426.447349537033</v>
      </c>
      <c r="B614" s="7" t="str">
        <f>HYPERLINK("https://twitter.com/Soto_Podemos","@Soto_Podemos")</f>
        <v>@Soto_Podemos</v>
      </c>
      <c r="C614" s="8" t="s">
        <v>3993</v>
      </c>
      <c r="D614" s="9" t="s">
        <v>3994</v>
      </c>
      <c r="E614" s="10" t="str">
        <f>HYPERLINK("https://twitter.com/Soto_Podemos/status/1065677336668975104","1065677336668975104")</f>
        <v>1065677336668975104</v>
      </c>
      <c r="F614" s="14" t="s">
        <v>3996</v>
      </c>
      <c r="G614" s="14" t="s">
        <v>3998</v>
      </c>
      <c r="H614" s="11"/>
      <c r="I614" s="12">
        <v>0</v>
      </c>
      <c r="J614" s="12">
        <v>0</v>
      </c>
      <c r="K614" s="13" t="str">
        <f>HYPERLINK("https://postcron.com","Postcron App")</f>
        <v>Postcron App</v>
      </c>
      <c r="L614" s="12">
        <v>405</v>
      </c>
      <c r="M614" s="12">
        <v>500</v>
      </c>
      <c r="N614" s="12">
        <v>4</v>
      </c>
      <c r="O614" s="15"/>
      <c r="P614" s="6">
        <v>42107.229849537034</v>
      </c>
      <c r="Q614" s="16" t="s">
        <v>3999</v>
      </c>
      <c r="R614" s="17" t="s">
        <v>4000</v>
      </c>
      <c r="S614" s="14" t="s">
        <v>4001</v>
      </c>
      <c r="T614" s="11"/>
      <c r="U614" s="10" t="str">
        <f>HYPERLINK("https://pbs.twimg.com/profile_images/769084504262803456/QKYhLcE3.jpg","View")</f>
        <v>View</v>
      </c>
    </row>
    <row r="615" spans="1:21" ht="40.799999999999997">
      <c r="A615" s="6">
        <v>43426.447337962964</v>
      </c>
      <c r="B615" s="7" t="str">
        <f>HYPERLINK("https://twitter.com/AlfonsoValleCa1","@AlfonsoValleCa1")</f>
        <v>@AlfonsoValleCa1</v>
      </c>
      <c r="C615" s="8" t="s">
        <v>4003</v>
      </c>
      <c r="D615" s="9" t="s">
        <v>768</v>
      </c>
      <c r="E615" s="10" t="str">
        <f>HYPERLINK("https://twitter.com/AlfonsoValleCa1/status/1065677332428537856","1065677332428537856")</f>
        <v>1065677332428537856</v>
      </c>
      <c r="F615" s="14" t="s">
        <v>529</v>
      </c>
      <c r="G615" s="11"/>
      <c r="H615" s="11"/>
      <c r="I615" s="12">
        <v>0</v>
      </c>
      <c r="J615" s="12">
        <v>0</v>
      </c>
      <c r="K615" s="13" t="str">
        <f t="shared" ref="K615:K616" si="133">HYPERLINK("http://twitter.com","Twitter Web Client")</f>
        <v>Twitter Web Client</v>
      </c>
      <c r="L615" s="12">
        <v>269</v>
      </c>
      <c r="M615" s="12">
        <v>519</v>
      </c>
      <c r="N615" s="12">
        <v>0</v>
      </c>
      <c r="O615" s="15"/>
      <c r="P615" s="6">
        <v>43351.44902777778</v>
      </c>
      <c r="Q615" s="11"/>
      <c r="R615" s="17" t="s">
        <v>4005</v>
      </c>
      <c r="S615" s="11"/>
      <c r="T615" s="11"/>
      <c r="U615" s="10" t="str">
        <f>HYPERLINK("https://pbs.twimg.com/profile_images/1038492800487235584/ikkVTpFF.jpg","View")</f>
        <v>View</v>
      </c>
    </row>
    <row r="616" spans="1:21" ht="51">
      <c r="A616" s="6">
        <v>43426.447175925925</v>
      </c>
      <c r="B616" s="7" t="str">
        <f>HYPERLINK("https://twitter.com/coronado244","@coronado244")</f>
        <v>@coronado244</v>
      </c>
      <c r="C616" s="8" t="s">
        <v>1500</v>
      </c>
      <c r="D616" s="9" t="s">
        <v>1501</v>
      </c>
      <c r="E616" s="10" t="str">
        <f>HYPERLINK("https://twitter.com/coronado244/status/1065677275109171200","1065677275109171200")</f>
        <v>1065677275109171200</v>
      </c>
      <c r="F616" s="11"/>
      <c r="G616" s="11"/>
      <c r="H616" s="11"/>
      <c r="I616" s="12">
        <v>0</v>
      </c>
      <c r="J616" s="12">
        <v>0</v>
      </c>
      <c r="K616" s="13" t="str">
        <f t="shared" si="133"/>
        <v>Twitter Web Client</v>
      </c>
      <c r="L616" s="12">
        <v>207</v>
      </c>
      <c r="M616" s="12">
        <v>621</v>
      </c>
      <c r="N616" s="12">
        <v>0</v>
      </c>
      <c r="O616" s="15"/>
      <c r="P616" s="6">
        <v>41254.315810185188</v>
      </c>
      <c r="Q616" s="16" t="s">
        <v>620</v>
      </c>
      <c r="R616" s="17" t="s">
        <v>1502</v>
      </c>
      <c r="S616" s="11"/>
      <c r="T616" s="11"/>
      <c r="U616" s="10" t="str">
        <f>HYPERLINK("https://pbs.twimg.com/profile_images/1042073170654707713/1YwcShXg.jpg","View")</f>
        <v>View</v>
      </c>
    </row>
    <row r="617" spans="1:21" ht="71.400000000000006">
      <c r="A617" s="6">
        <v>43426.447118055556</v>
      </c>
      <c r="B617" s="7" t="str">
        <f>HYPERLINK("https://twitter.com/diesarom","@diesarom")</f>
        <v>@diesarom</v>
      </c>
      <c r="C617" s="8" t="s">
        <v>4008</v>
      </c>
      <c r="D617" s="9" t="s">
        <v>4009</v>
      </c>
      <c r="E617" s="10" t="str">
        <f>HYPERLINK("https://twitter.com/diesarom/status/1065677254540308480","1065677254540308480")</f>
        <v>1065677254540308480</v>
      </c>
      <c r="F617" s="14" t="s">
        <v>4011</v>
      </c>
      <c r="G617" s="14" t="s">
        <v>4012</v>
      </c>
      <c r="H617" s="11"/>
      <c r="I617" s="12">
        <v>0</v>
      </c>
      <c r="J617" s="12">
        <v>1</v>
      </c>
      <c r="K617" s="13" t="str">
        <f t="shared" ref="K617:K618" si="134">HYPERLINK("http://twitter.com/download/android","Twitter for Android")</f>
        <v>Twitter for Android</v>
      </c>
      <c r="L617" s="12">
        <v>14</v>
      </c>
      <c r="M617" s="12">
        <v>139</v>
      </c>
      <c r="N617" s="12">
        <v>0</v>
      </c>
      <c r="O617" s="15"/>
      <c r="P617" s="6">
        <v>43334.019085648149</v>
      </c>
      <c r="Q617" s="11"/>
      <c r="R617" s="17" t="s">
        <v>4013</v>
      </c>
      <c r="S617" s="11"/>
      <c r="T617" s="11"/>
      <c r="U617" s="10" t="str">
        <f>HYPERLINK("https://pbs.twimg.com/profile_images/1062402101295362049/mwsXK7mS.jpg","View")</f>
        <v>View</v>
      </c>
    </row>
    <row r="618" spans="1:21" ht="71.400000000000006">
      <c r="A618" s="6">
        <v>43426.445127314815</v>
      </c>
      <c r="B618" s="7" t="str">
        <f>HYPERLINK("https://twitter.com/ramacabici","@ramacabici")</f>
        <v>@ramacabici</v>
      </c>
      <c r="C618" s="8" t="s">
        <v>1503</v>
      </c>
      <c r="D618" s="9" t="s">
        <v>1504</v>
      </c>
      <c r="E618" s="10" t="str">
        <f>HYPERLINK("https://twitter.com/ramacabici/status/1065676531559788544","1065676531559788544")</f>
        <v>1065676531559788544</v>
      </c>
      <c r="F618" s="14" t="s">
        <v>1505</v>
      </c>
      <c r="G618" s="14" t="s">
        <v>1506</v>
      </c>
      <c r="H618" s="11"/>
      <c r="I618" s="12">
        <v>6</v>
      </c>
      <c r="J618" s="12">
        <v>9</v>
      </c>
      <c r="K618" s="13" t="str">
        <f t="shared" si="134"/>
        <v>Twitter for Android</v>
      </c>
      <c r="L618" s="12">
        <v>850</v>
      </c>
      <c r="M618" s="12">
        <v>308</v>
      </c>
      <c r="N618" s="12">
        <v>25</v>
      </c>
      <c r="O618" s="15"/>
      <c r="P618" s="6">
        <v>40956.403587962966</v>
      </c>
      <c r="Q618" s="16" t="s">
        <v>1509</v>
      </c>
      <c r="R618" s="17" t="s">
        <v>1510</v>
      </c>
      <c r="S618" s="14" t="s">
        <v>1511</v>
      </c>
      <c r="T618" s="11"/>
      <c r="U618" s="10" t="str">
        <f>HYPERLINK("https://pbs.twimg.com/profile_images/1061703008713654273/uQkTcS43.jpg","View")</f>
        <v>View</v>
      </c>
    </row>
    <row r="619" spans="1:21" ht="40.799999999999997">
      <c r="A619" s="6">
        <v>43426.444085648152</v>
      </c>
      <c r="B619" s="7" t="str">
        <f>HYPERLINK("https://twitter.com/PdeSamos","@PdeSamos")</f>
        <v>@PdeSamos</v>
      </c>
      <c r="C619" s="8" t="s">
        <v>3877</v>
      </c>
      <c r="D619" s="9" t="s">
        <v>4023</v>
      </c>
      <c r="E619" s="10" t="str">
        <f>HYPERLINK("https://twitter.com/PdeSamos/status/1065676153934020614","1065676153934020614")</f>
        <v>1065676153934020614</v>
      </c>
      <c r="F619" s="14" t="s">
        <v>4024</v>
      </c>
      <c r="G619" s="11"/>
      <c r="H619" s="11"/>
      <c r="I619" s="12">
        <v>0</v>
      </c>
      <c r="J619" s="12">
        <v>0</v>
      </c>
      <c r="K619" s="13" t="str">
        <f>HYPERLINK("http://republico.ddns.net","App Libertad PdeSamos")</f>
        <v>App Libertad PdeSamos</v>
      </c>
      <c r="L619" s="12">
        <v>5283</v>
      </c>
      <c r="M619" s="12">
        <v>5301</v>
      </c>
      <c r="N619" s="12">
        <v>12</v>
      </c>
      <c r="O619" s="15"/>
      <c r="P619" s="6">
        <v>42889.445567129631</v>
      </c>
      <c r="Q619" s="16" t="s">
        <v>3881</v>
      </c>
      <c r="R619" s="17" t="s">
        <v>3882</v>
      </c>
      <c r="S619" s="11"/>
      <c r="T619" s="11"/>
      <c r="U619" s="10" t="str">
        <f>HYPERLINK("https://pbs.twimg.com/profile_images/871063742003511296/xK2IYbrO.jpg","View")</f>
        <v>View</v>
      </c>
    </row>
    <row r="620" spans="1:21" ht="81.599999999999994">
      <c r="A620" s="6">
        <v>43426.442002314812</v>
      </c>
      <c r="B620" s="7" t="str">
        <f>HYPERLINK("https://twitter.com/tony73_","@tony73_")</f>
        <v>@tony73_</v>
      </c>
      <c r="C620" s="8" t="s">
        <v>4026</v>
      </c>
      <c r="D620" s="9" t="s">
        <v>4027</v>
      </c>
      <c r="E620" s="10" t="str">
        <f>HYPERLINK("https://twitter.com/tony73_/status/1065675401278701569","1065675401278701569")</f>
        <v>1065675401278701569</v>
      </c>
      <c r="F620" s="16" t="s">
        <v>1112</v>
      </c>
      <c r="G620" s="11"/>
      <c r="H620" s="11"/>
      <c r="I620" s="12">
        <v>159</v>
      </c>
      <c r="J620" s="12">
        <v>215</v>
      </c>
      <c r="K620" s="13" t="str">
        <f>HYPERLINK("http://twitter.com/download/android","Twitter for Android")</f>
        <v>Twitter for Android</v>
      </c>
      <c r="L620" s="12">
        <v>2547</v>
      </c>
      <c r="M620" s="12">
        <v>3024</v>
      </c>
      <c r="N620" s="12">
        <v>10</v>
      </c>
      <c r="O620" s="15"/>
      <c r="P620" s="6">
        <v>41086.227673611109</v>
      </c>
      <c r="Q620" s="11"/>
      <c r="R620" s="17" t="s">
        <v>4028</v>
      </c>
      <c r="S620" s="14" t="s">
        <v>4029</v>
      </c>
      <c r="T620" s="11"/>
      <c r="U620" s="10" t="str">
        <f>HYPERLINK("https://pbs.twimg.com/profile_images/977238949407154177/zyoFbiNE.jpg","View")</f>
        <v>View</v>
      </c>
    </row>
    <row r="621" spans="1:21" ht="40.799999999999997">
      <c r="A621" s="6">
        <v>43426.441828703704</v>
      </c>
      <c r="B621" s="7" t="str">
        <f>HYPERLINK("https://twitter.com/MONTENEGRODORA","@MONTENEGRODORA")</f>
        <v>@MONTENEGRODORA</v>
      </c>
      <c r="C621" s="8" t="s">
        <v>4032</v>
      </c>
      <c r="D621" s="9" t="s">
        <v>4033</v>
      </c>
      <c r="E621" s="10" t="str">
        <f>HYPERLINK("https://twitter.com/MONTENEGRODORA/status/1065675336350744576","1065675336350744576")</f>
        <v>1065675336350744576</v>
      </c>
      <c r="F621" s="14" t="s">
        <v>4034</v>
      </c>
      <c r="G621" s="11"/>
      <c r="H621" s="11"/>
      <c r="I621" s="12">
        <v>0</v>
      </c>
      <c r="J621" s="12">
        <v>0</v>
      </c>
      <c r="K621" s="13" t="str">
        <f>HYPERLINK("http://www.facebook.com/twitter","Facebook")</f>
        <v>Facebook</v>
      </c>
      <c r="L621" s="12">
        <v>52</v>
      </c>
      <c r="M621" s="12">
        <v>409</v>
      </c>
      <c r="N621" s="12">
        <v>4</v>
      </c>
      <c r="O621" s="15"/>
      <c r="P621" s="6">
        <v>41510.309305555558</v>
      </c>
      <c r="Q621" s="16" t="s">
        <v>4035</v>
      </c>
      <c r="R621" s="17" t="s">
        <v>4036</v>
      </c>
      <c r="S621" s="14" t="s">
        <v>4037</v>
      </c>
      <c r="T621" s="11"/>
      <c r="U621" s="10" t="str">
        <f>HYPERLINK("https://pbs.twimg.com/profile_images/580432186295357441/T_2OWsrk.jpg","View")</f>
        <v>View</v>
      </c>
    </row>
    <row r="622" spans="1:21" ht="71.400000000000006">
      <c r="A622" s="6">
        <v>43426.441296296296</v>
      </c>
      <c r="B622" s="7" t="str">
        <f>HYPERLINK("https://twitter.com/Andresamunt","@Andresamunt")</f>
        <v>@Andresamunt</v>
      </c>
      <c r="C622" s="8" t="s">
        <v>4040</v>
      </c>
      <c r="D622" s="9" t="s">
        <v>4041</v>
      </c>
      <c r="E622" s="10" t="str">
        <f>HYPERLINK("https://twitter.com/Andresamunt/status/1065675143563960321","1065675143563960321")</f>
        <v>1065675143563960321</v>
      </c>
      <c r="F622" s="16" t="s">
        <v>4042</v>
      </c>
      <c r="G622" s="14" t="s">
        <v>4043</v>
      </c>
      <c r="H622" s="11"/>
      <c r="I622" s="12">
        <v>2</v>
      </c>
      <c r="J622" s="12">
        <v>1</v>
      </c>
      <c r="K622" s="13" t="str">
        <f t="shared" ref="K622:K623" si="135">HYPERLINK("http://twitter.com/download/iphone","Twitter for iPhone")</f>
        <v>Twitter for iPhone</v>
      </c>
      <c r="L622" s="12">
        <v>1241</v>
      </c>
      <c r="M622" s="12">
        <v>1499</v>
      </c>
      <c r="N622" s="12">
        <v>10</v>
      </c>
      <c r="O622" s="15"/>
      <c r="P622" s="6">
        <v>41655.179849537039</v>
      </c>
      <c r="Q622" s="11"/>
      <c r="R622" s="17" t="s">
        <v>4045</v>
      </c>
      <c r="S622" s="11"/>
      <c r="T622" s="11"/>
      <c r="U622" s="10" t="str">
        <f>HYPERLINK("https://pbs.twimg.com/profile_images/695015091499094017/tiUDidNU.jpg","View")</f>
        <v>View</v>
      </c>
    </row>
    <row r="623" spans="1:21" ht="30.6">
      <c r="A623" s="6">
        <v>43426.440844907411</v>
      </c>
      <c r="B623" s="7" t="str">
        <f>HYPERLINK("https://twitter.com/ronswanson27","@ronswanson27")</f>
        <v>@ronswanson27</v>
      </c>
      <c r="C623" s="8" t="s">
        <v>4046</v>
      </c>
      <c r="D623" s="9" t="s">
        <v>4047</v>
      </c>
      <c r="E623" s="10" t="str">
        <f>HYPERLINK("https://twitter.com/ronswanson27/status/1065674982783635461","1065674982783635461")</f>
        <v>1065674982783635461</v>
      </c>
      <c r="F623" s="11"/>
      <c r="G623" s="14" t="s">
        <v>4048</v>
      </c>
      <c r="H623" s="11"/>
      <c r="I623" s="12">
        <v>0</v>
      </c>
      <c r="J623" s="12">
        <v>3</v>
      </c>
      <c r="K623" s="13" t="str">
        <f t="shared" si="135"/>
        <v>Twitter for iPhone</v>
      </c>
      <c r="L623" s="12">
        <v>29</v>
      </c>
      <c r="M623" s="12">
        <v>92</v>
      </c>
      <c r="N623" s="12">
        <v>0</v>
      </c>
      <c r="O623" s="15"/>
      <c r="P623" s="6">
        <v>43051.189444444448</v>
      </c>
      <c r="Q623" s="16" t="s">
        <v>901</v>
      </c>
      <c r="R623" s="17" t="s">
        <v>4049</v>
      </c>
      <c r="S623" s="11"/>
      <c r="T623" s="11"/>
      <c r="U623" s="10" t="str">
        <f>HYPERLINK("https://pbs.twimg.com/profile_images/1057288586410762240/eA85mgw5.jpg","View")</f>
        <v>View</v>
      </c>
    </row>
    <row r="624" spans="1:21" ht="40.799999999999997">
      <c r="A624" s="6">
        <v>43426.439560185187</v>
      </c>
      <c r="B624" s="7" t="str">
        <f>HYPERLINK("https://twitter.com/MiguelArenas8","@MiguelArenas8")</f>
        <v>@MiguelArenas8</v>
      </c>
      <c r="C624" s="8" t="s">
        <v>1512</v>
      </c>
      <c r="D624" s="9" t="s">
        <v>1513</v>
      </c>
      <c r="E624" s="10" t="str">
        <f>HYPERLINK("https://twitter.com/MiguelArenas8/status/1065674517371125760","1065674517371125760")</f>
        <v>1065674517371125760</v>
      </c>
      <c r="F624" s="11"/>
      <c r="G624" s="11"/>
      <c r="H624" s="11"/>
      <c r="I624" s="12">
        <v>0</v>
      </c>
      <c r="J624" s="12">
        <v>1</v>
      </c>
      <c r="K624" s="13" t="str">
        <f>HYPERLINK("http://twitter.com/download/android","Twitter for Android")</f>
        <v>Twitter for Android</v>
      </c>
      <c r="L624" s="12">
        <v>134</v>
      </c>
      <c r="M624" s="12">
        <v>221</v>
      </c>
      <c r="N624" s="12">
        <v>3</v>
      </c>
      <c r="O624" s="15"/>
      <c r="P624" s="6">
        <v>40306.158067129625</v>
      </c>
      <c r="Q624" s="16" t="s">
        <v>1516</v>
      </c>
      <c r="R624" s="17" t="s">
        <v>1517</v>
      </c>
      <c r="S624" s="11"/>
      <c r="T624" s="11"/>
      <c r="U624" s="10" t="str">
        <f>HYPERLINK("https://pbs.twimg.com/profile_images/922363528861966337/QcocwVBe.jpg","View")</f>
        <v>View</v>
      </c>
    </row>
    <row r="625" spans="1:21" ht="30.6">
      <c r="A625" s="6">
        <v>43426.439039351855</v>
      </c>
      <c r="B625" s="7" t="str">
        <f>HYPERLINK("https://twitter.com/marcquero","@marcquero")</f>
        <v>@marcquero</v>
      </c>
      <c r="C625" s="8" t="s">
        <v>4052</v>
      </c>
      <c r="D625" s="9" t="s">
        <v>768</v>
      </c>
      <c r="E625" s="10" t="str">
        <f>HYPERLINK("https://twitter.com/marcquero/status/1065674327599849473","1065674327599849473")</f>
        <v>1065674327599849473</v>
      </c>
      <c r="F625" s="14" t="s">
        <v>529</v>
      </c>
      <c r="G625" s="11"/>
      <c r="H625" s="11"/>
      <c r="I625" s="12">
        <v>0</v>
      </c>
      <c r="J625" s="12">
        <v>0</v>
      </c>
      <c r="K625" s="13" t="str">
        <f>HYPERLINK("http://twitter.com","Twitter Web Client")</f>
        <v>Twitter Web Client</v>
      </c>
      <c r="L625" s="12">
        <v>88</v>
      </c>
      <c r="M625" s="12">
        <v>589</v>
      </c>
      <c r="N625" s="12">
        <v>4</v>
      </c>
      <c r="O625" s="15"/>
      <c r="P625" s="6">
        <v>40665.500219907408</v>
      </c>
      <c r="Q625" s="16" t="s">
        <v>4053</v>
      </c>
      <c r="R625" s="17" t="s">
        <v>4054</v>
      </c>
      <c r="S625" s="11"/>
      <c r="T625" s="11"/>
      <c r="U625" s="10" t="str">
        <f>HYPERLINK("https://pbs.twimg.com/profile_images/785559151678218240/FhZx0tbh.jpg","View")</f>
        <v>View</v>
      </c>
    </row>
    <row r="626" spans="1:21" ht="51">
      <c r="A626" s="6">
        <v>43426.438923611116</v>
      </c>
      <c r="B626" s="7" t="str">
        <f>HYPERLINK("https://twitter.com/pablocast13","@pablocast13")</f>
        <v>@pablocast13</v>
      </c>
      <c r="C626" s="8" t="s">
        <v>4056</v>
      </c>
      <c r="D626" s="9" t="s">
        <v>4057</v>
      </c>
      <c r="E626" s="10" t="str">
        <f>HYPERLINK("https://twitter.com/pablocast13/status/1065674284868296704","1065674284868296704")</f>
        <v>1065674284868296704</v>
      </c>
      <c r="F626" s="11"/>
      <c r="G626" s="11"/>
      <c r="H626" s="11"/>
      <c r="I626" s="12">
        <v>328</v>
      </c>
      <c r="J626" s="12">
        <v>626</v>
      </c>
      <c r="K626" s="13" t="str">
        <f>HYPERLINK("http://twitter.com/download/android","Twitter for Android")</f>
        <v>Twitter for Android</v>
      </c>
      <c r="L626" s="12">
        <v>12127</v>
      </c>
      <c r="M626" s="12">
        <v>7972</v>
      </c>
      <c r="N626" s="12">
        <v>30</v>
      </c>
      <c r="O626" s="15"/>
      <c r="P626" s="6">
        <v>41520.503240740742</v>
      </c>
      <c r="Q626" s="16" t="s">
        <v>38</v>
      </c>
      <c r="R626" s="17" t="s">
        <v>4060</v>
      </c>
      <c r="S626" s="11"/>
      <c r="T626" s="11"/>
      <c r="U626" s="10" t="str">
        <f>HYPERLINK("https://pbs.twimg.com/profile_images/1018154504636850176/X6px7s7H.jpg","View")</f>
        <v>View</v>
      </c>
    </row>
    <row r="627" spans="1:21" ht="81.599999999999994">
      <c r="A627" s="6">
        <v>43426.436550925922</v>
      </c>
      <c r="B627" s="7" t="str">
        <f>HYPERLINK("https://twitter.com/pipio44","@pipio44")</f>
        <v>@pipio44</v>
      </c>
      <c r="C627" s="8" t="s">
        <v>713</v>
      </c>
      <c r="D627" s="9" t="s">
        <v>1523</v>
      </c>
      <c r="E627" s="10" t="str">
        <f>HYPERLINK("https://twitter.com/pipio44/status/1065673425493114880","1065673425493114880")</f>
        <v>1065673425493114880</v>
      </c>
      <c r="F627" s="16" t="s">
        <v>1526</v>
      </c>
      <c r="G627" s="11"/>
      <c r="H627" s="11"/>
      <c r="I627" s="12">
        <v>0</v>
      </c>
      <c r="J627" s="12">
        <v>0</v>
      </c>
      <c r="K627" s="13" t="str">
        <f>HYPERLINK("http://twitter.com/download/iphone","Twitter for iPhone")</f>
        <v>Twitter for iPhone</v>
      </c>
      <c r="L627" s="12">
        <v>737</v>
      </c>
      <c r="M627" s="12">
        <v>544</v>
      </c>
      <c r="N627" s="12">
        <v>28</v>
      </c>
      <c r="O627" s="15"/>
      <c r="P627" s="6">
        <v>40770.663275462961</v>
      </c>
      <c r="Q627" s="11"/>
      <c r="R627" s="17" t="s">
        <v>719</v>
      </c>
      <c r="S627" s="11"/>
      <c r="T627" s="11"/>
      <c r="U627" s="10" t="str">
        <f>HYPERLINK("https://pbs.twimg.com/profile_images/1052141810347364353/8JWxa8CG.jpg","View")</f>
        <v>View</v>
      </c>
    </row>
    <row r="628" spans="1:21" ht="81.599999999999994">
      <c r="A628" s="6">
        <v>43426.436469907407</v>
      </c>
      <c r="B628" s="7" t="str">
        <f>HYPERLINK("https://twitter.com/Juan200363","@Juan200363")</f>
        <v>@Juan200363</v>
      </c>
      <c r="C628" s="8" t="s">
        <v>1528</v>
      </c>
      <c r="D628" s="9" t="s">
        <v>1529</v>
      </c>
      <c r="E628" s="10" t="str">
        <f>HYPERLINK("https://twitter.com/Juan200363/status/1065673396577546240","1065673396577546240")</f>
        <v>1065673396577546240</v>
      </c>
      <c r="F628" s="14" t="s">
        <v>1530</v>
      </c>
      <c r="G628" s="14" t="s">
        <v>1531</v>
      </c>
      <c r="H628" s="11"/>
      <c r="I628" s="12">
        <v>0</v>
      </c>
      <c r="J628" s="12">
        <v>1</v>
      </c>
      <c r="K628" s="13" t="str">
        <f>HYPERLINK("http://twitter.com/download/android","Twitter for Android")</f>
        <v>Twitter for Android</v>
      </c>
      <c r="L628" s="12">
        <v>2612</v>
      </c>
      <c r="M628" s="12">
        <v>2270</v>
      </c>
      <c r="N628" s="12">
        <v>4</v>
      </c>
      <c r="O628" s="15"/>
      <c r="P628" s="6">
        <v>40977.355636574073</v>
      </c>
      <c r="Q628" s="16" t="s">
        <v>290</v>
      </c>
      <c r="R628" s="17" t="s">
        <v>1532</v>
      </c>
      <c r="S628" s="14" t="s">
        <v>1533</v>
      </c>
      <c r="T628" s="11"/>
      <c r="U628" s="10" t="str">
        <f>HYPERLINK("https://pbs.twimg.com/profile_images/1064554555772493824/mWOXwUwj.jpg","View")</f>
        <v>View</v>
      </c>
    </row>
    <row r="629" spans="1:21" ht="20.399999999999999">
      <c r="A629" s="6">
        <v>43426.435578703706</v>
      </c>
      <c r="B629" s="7" t="str">
        <f>HYPERLINK("https://twitter.com/Kanrolas","@Kanrolas")</f>
        <v>@Kanrolas</v>
      </c>
      <c r="C629" s="8" t="s">
        <v>1536</v>
      </c>
      <c r="D629" s="9" t="s">
        <v>1537</v>
      </c>
      <c r="E629" s="10" t="str">
        <f>HYPERLINK("https://twitter.com/Kanrolas/status/1065673074203344896","1065673074203344896")</f>
        <v>1065673074203344896</v>
      </c>
      <c r="F629" s="11"/>
      <c r="G629" s="14" t="s">
        <v>1539</v>
      </c>
      <c r="H629" s="11"/>
      <c r="I629" s="12">
        <v>0</v>
      </c>
      <c r="J629" s="12">
        <v>0</v>
      </c>
      <c r="K629" s="13" t="str">
        <f>HYPERLINK("http://twitter.com/download/iphone","Twitter for iPhone")</f>
        <v>Twitter for iPhone</v>
      </c>
      <c r="L629" s="12">
        <v>718</v>
      </c>
      <c r="M629" s="12">
        <v>290</v>
      </c>
      <c r="N629" s="12">
        <v>57</v>
      </c>
      <c r="O629" s="15"/>
      <c r="P629" s="6">
        <v>39920.276516203703</v>
      </c>
      <c r="Q629" s="16" t="s">
        <v>1541</v>
      </c>
      <c r="R629" s="17" t="s">
        <v>1542</v>
      </c>
      <c r="S629" s="14" t="s">
        <v>1543</v>
      </c>
      <c r="T629" s="11"/>
      <c r="U629" s="10" t="str">
        <f>HYPERLINK("https://pbs.twimg.com/profile_images/889571210513846273/8kIT0_aK.jpg","View")</f>
        <v>View</v>
      </c>
    </row>
    <row r="630" spans="1:21" ht="51">
      <c r="A630" s="6">
        <v>43426.434710648144</v>
      </c>
      <c r="B630" s="7" t="str">
        <f>HYPERLINK("https://twitter.com/R_Salinski","@R_Salinski")</f>
        <v>@R_Salinski</v>
      </c>
      <c r="C630" s="8" t="s">
        <v>4069</v>
      </c>
      <c r="D630" s="9" t="s">
        <v>4070</v>
      </c>
      <c r="E630" s="10" t="str">
        <f>HYPERLINK("https://twitter.com/R_Salinski/status/1065672757713747969","1065672757713747969")</f>
        <v>1065672757713747969</v>
      </c>
      <c r="F630" s="11"/>
      <c r="G630" s="11"/>
      <c r="H630" s="11"/>
      <c r="I630" s="12">
        <v>0</v>
      </c>
      <c r="J630" s="12">
        <v>0</v>
      </c>
      <c r="K630" s="13" t="str">
        <f>HYPERLINK("http://twitter.com","Twitter Web Client")</f>
        <v>Twitter Web Client</v>
      </c>
      <c r="L630" s="12">
        <v>114</v>
      </c>
      <c r="M630" s="12">
        <v>53</v>
      </c>
      <c r="N630" s="12">
        <v>23</v>
      </c>
      <c r="O630" s="15"/>
      <c r="P630" s="6">
        <v>40639.199259259258</v>
      </c>
      <c r="Q630" s="16" t="s">
        <v>3007</v>
      </c>
      <c r="R630" s="17" t="s">
        <v>4071</v>
      </c>
      <c r="S630" s="14" t="s">
        <v>4072</v>
      </c>
      <c r="T630" s="11"/>
      <c r="U630" s="10" t="str">
        <f>HYPERLINK("https://pbs.twimg.com/profile_images/550222728314114049/u0J1sqbu.jpeg","View")</f>
        <v>View</v>
      </c>
    </row>
    <row r="631" spans="1:21" ht="13.2">
      <c r="A631" s="6">
        <v>43426.433449074073</v>
      </c>
      <c r="B631" s="7" t="str">
        <f>HYPERLINK("https://twitter.com/JGX999","@JGX999")</f>
        <v>@JGX999</v>
      </c>
      <c r="C631" s="8" t="s">
        <v>4074</v>
      </c>
      <c r="D631" s="9" t="s">
        <v>4075</v>
      </c>
      <c r="E631" s="10" t="str">
        <f>HYPERLINK("https://twitter.com/JGX999/status/1065672302015201280","1065672302015201280")</f>
        <v>1065672302015201280</v>
      </c>
      <c r="F631" s="11"/>
      <c r="G631" s="14" t="s">
        <v>4078</v>
      </c>
      <c r="H631" s="11"/>
      <c r="I631" s="12">
        <v>0</v>
      </c>
      <c r="J631" s="12">
        <v>3</v>
      </c>
      <c r="K631" s="13" t="str">
        <f>HYPERLINK("http://twitter.com/download/android","Twitter for Android")</f>
        <v>Twitter for Android</v>
      </c>
      <c r="L631" s="12">
        <v>319</v>
      </c>
      <c r="M631" s="12">
        <v>335</v>
      </c>
      <c r="N631" s="12">
        <v>6</v>
      </c>
      <c r="O631" s="15"/>
      <c r="P631" s="6">
        <v>42009.273634259254</v>
      </c>
      <c r="Q631" s="16" t="s">
        <v>4080</v>
      </c>
      <c r="R631" s="17" t="s">
        <v>4081</v>
      </c>
      <c r="S631" s="11"/>
      <c r="T631" s="11"/>
      <c r="U631" s="10" t="str">
        <f>HYPERLINK("https://pbs.twimg.com/profile_images/1064484257517772800/P8yfKjoj.jpg","View")</f>
        <v>View</v>
      </c>
    </row>
    <row r="632" spans="1:21" ht="61.2">
      <c r="A632" s="6">
        <v>43426.432141203702</v>
      </c>
      <c r="B632" s="7" t="str">
        <f>HYPERLINK("https://twitter.com/Cesarbici","@Cesarbici")</f>
        <v>@Cesarbici</v>
      </c>
      <c r="C632" s="8" t="s">
        <v>1546</v>
      </c>
      <c r="D632" s="9" t="s">
        <v>1547</v>
      </c>
      <c r="E632" s="10" t="str">
        <f>HYPERLINK("https://twitter.com/Cesarbici/status/1065671825856839680","1065671825856839680")</f>
        <v>1065671825856839680</v>
      </c>
      <c r="F632" s="11"/>
      <c r="G632" s="14" t="s">
        <v>1548</v>
      </c>
      <c r="H632" s="11"/>
      <c r="I632" s="12">
        <v>5</v>
      </c>
      <c r="J632" s="12">
        <v>6</v>
      </c>
      <c r="K632" s="13" t="str">
        <f t="shared" ref="K632:K633" si="136">HYPERLINK("http://twitter.com/download/iphone","Twitter for iPhone")</f>
        <v>Twitter for iPhone</v>
      </c>
      <c r="L632" s="12">
        <v>62</v>
      </c>
      <c r="M632" s="12">
        <v>185</v>
      </c>
      <c r="N632" s="12">
        <v>0</v>
      </c>
      <c r="O632" s="15"/>
      <c r="P632" s="6">
        <v>40795.307569444441</v>
      </c>
      <c r="Q632" s="11"/>
      <c r="R632" s="17" t="s">
        <v>1550</v>
      </c>
      <c r="S632" s="11"/>
      <c r="T632" s="11"/>
      <c r="U632" s="10" t="str">
        <f>HYPERLINK("https://pbs.twimg.com/profile_images/875009123095633924/UwOnLYkL.jpg","View")</f>
        <v>View</v>
      </c>
    </row>
    <row r="633" spans="1:21" ht="102">
      <c r="A633" s="6">
        <v>43426.429074074069</v>
      </c>
      <c r="B633" s="7" t="str">
        <f>HYPERLINK("https://twitter.com/Hugopenamedina","@Hugopenamedina")</f>
        <v>@Hugopenamedina</v>
      </c>
      <c r="C633" s="8" t="s">
        <v>1552</v>
      </c>
      <c r="D633" s="9" t="s">
        <v>1553</v>
      </c>
      <c r="E633" s="10" t="str">
        <f>HYPERLINK("https://twitter.com/Hugopenamedina/status/1065670715159007232","1065670715159007232")</f>
        <v>1065670715159007232</v>
      </c>
      <c r="F633" s="14" t="s">
        <v>1554</v>
      </c>
      <c r="G633" s="14" t="s">
        <v>1555</v>
      </c>
      <c r="H633" s="11"/>
      <c r="I633" s="12">
        <v>0</v>
      </c>
      <c r="J633" s="12">
        <v>1</v>
      </c>
      <c r="K633" s="13" t="str">
        <f t="shared" si="136"/>
        <v>Twitter for iPhone</v>
      </c>
      <c r="L633" s="12">
        <v>716</v>
      </c>
      <c r="M633" s="12">
        <v>91</v>
      </c>
      <c r="N633" s="12">
        <v>5</v>
      </c>
      <c r="O633" s="15"/>
      <c r="P633" s="6">
        <v>41074.605092592596</v>
      </c>
      <c r="Q633" s="16" t="s">
        <v>1485</v>
      </c>
      <c r="R633" s="17" t="s">
        <v>1556</v>
      </c>
      <c r="S633" s="11"/>
      <c r="T633" s="11"/>
      <c r="U633" s="10" t="str">
        <f>HYPERLINK("https://pbs.twimg.com/profile_images/1043213519049646080/nn1Iyxm0.jpg","View")</f>
        <v>View</v>
      </c>
    </row>
    <row r="634" spans="1:21" ht="30.6">
      <c r="A634" s="6">
        <v>43426.428842592592</v>
      </c>
      <c r="B634" s="7" t="str">
        <f>HYPERLINK("https://twitter.com/Albert_Foxxx","@Albert_Foxxx")</f>
        <v>@Albert_Foxxx</v>
      </c>
      <c r="C634" s="8" t="s">
        <v>4086</v>
      </c>
      <c r="D634" s="9" t="s">
        <v>4087</v>
      </c>
      <c r="E634" s="10" t="str">
        <f>HYPERLINK("https://twitter.com/Albert_Foxxx/status/1065670633764327425","1065670633764327425")</f>
        <v>1065670633764327425</v>
      </c>
      <c r="F634" s="11"/>
      <c r="G634" s="11"/>
      <c r="H634" s="11"/>
      <c r="I634" s="12">
        <v>1</v>
      </c>
      <c r="J634" s="12">
        <v>1</v>
      </c>
      <c r="K634" s="13" t="str">
        <f>HYPERLINK("http://twitter.com","Twitter Web Client")</f>
        <v>Twitter Web Client</v>
      </c>
      <c r="L634" s="12">
        <v>2067</v>
      </c>
      <c r="M634" s="12">
        <v>4995</v>
      </c>
      <c r="N634" s="12">
        <v>30</v>
      </c>
      <c r="O634" s="15"/>
      <c r="P634" s="6">
        <v>40814.413912037038</v>
      </c>
      <c r="Q634" s="16" t="s">
        <v>1188</v>
      </c>
      <c r="R634" s="17" t="s">
        <v>4089</v>
      </c>
      <c r="S634" s="11"/>
      <c r="T634" s="11"/>
      <c r="U634" s="10" t="str">
        <f>HYPERLINK("https://pbs.twimg.com/profile_images/1010547135136362496/i61LPDSG.jpg","View")</f>
        <v>View</v>
      </c>
    </row>
    <row r="635" spans="1:21" ht="40.799999999999997">
      <c r="A635" s="6">
        <v>43426.428263888884</v>
      </c>
      <c r="B635" s="7" t="str">
        <f>HYPERLINK("https://twitter.com/mundoclar95","@mundoclar95")</f>
        <v>@mundoclar95</v>
      </c>
      <c r="C635" s="8" t="s">
        <v>1557</v>
      </c>
      <c r="D635" s="9" t="s">
        <v>1558</v>
      </c>
      <c r="E635" s="10" t="str">
        <f>HYPERLINK("https://twitter.com/mundoclar95/status/1065670421272567808","1065670421272567808")</f>
        <v>1065670421272567808</v>
      </c>
      <c r="F635" s="14" t="s">
        <v>1267</v>
      </c>
      <c r="G635" s="14" t="s">
        <v>1559</v>
      </c>
      <c r="H635" s="11"/>
      <c r="I635" s="12">
        <v>2</v>
      </c>
      <c r="J635" s="12">
        <v>2</v>
      </c>
      <c r="K635" s="13" t="str">
        <f>HYPERLINK("http://twitter.com/download/iphone","Twitter for iPhone")</f>
        <v>Twitter for iPhone</v>
      </c>
      <c r="L635" s="12">
        <v>246</v>
      </c>
      <c r="M635" s="12">
        <v>326</v>
      </c>
      <c r="N635" s="12">
        <v>2</v>
      </c>
      <c r="O635" s="15"/>
      <c r="P635" s="6">
        <v>40863.336944444447</v>
      </c>
      <c r="Q635" s="16" t="s">
        <v>1560</v>
      </c>
      <c r="R635" s="17" t="s">
        <v>1561</v>
      </c>
      <c r="S635" s="11"/>
      <c r="T635" s="11"/>
      <c r="U635" s="10" t="str">
        <f>HYPERLINK("https://pbs.twimg.com/profile_images/998976750062206976/VcUtBL6E.jpg","View")</f>
        <v>View</v>
      </c>
    </row>
    <row r="636" spans="1:21" ht="51">
      <c r="A636" s="6">
        <v>43426.427847222221</v>
      </c>
      <c r="B636" s="7" t="str">
        <f>HYPERLINK("https://twitter.com/pacoipunto","@pacoipunto")</f>
        <v>@pacoipunto</v>
      </c>
      <c r="C636" s="8" t="s">
        <v>4095</v>
      </c>
      <c r="D636" s="9" t="s">
        <v>4096</v>
      </c>
      <c r="E636" s="10" t="str">
        <f>HYPERLINK("https://twitter.com/pacoipunto/status/1065670271800143873","1065670271800143873")</f>
        <v>1065670271800143873</v>
      </c>
      <c r="F636" s="14" t="s">
        <v>79</v>
      </c>
      <c r="G636" s="11"/>
      <c r="H636" s="11"/>
      <c r="I636" s="12">
        <v>7</v>
      </c>
      <c r="J636" s="12">
        <v>11</v>
      </c>
      <c r="K636" s="13" t="str">
        <f>HYPERLINK("http://twitter.com/download/android","Twitter for Android")</f>
        <v>Twitter for Android</v>
      </c>
      <c r="L636" s="12">
        <v>6132</v>
      </c>
      <c r="M636" s="12">
        <v>4893</v>
      </c>
      <c r="N636" s="12">
        <v>44</v>
      </c>
      <c r="O636" s="15"/>
      <c r="P636" s="6">
        <v>41315.512523148151</v>
      </c>
      <c r="Q636" s="16" t="s">
        <v>4097</v>
      </c>
      <c r="R636" s="17" t="s">
        <v>4098</v>
      </c>
      <c r="S636" s="11"/>
      <c r="T636" s="11"/>
      <c r="U636" s="10" t="str">
        <f>HYPERLINK("https://pbs.twimg.com/profile_images/789076354746687489/FtwdftoJ.jpg","View")</f>
        <v>View</v>
      </c>
    </row>
    <row r="637" spans="1:21" ht="51">
      <c r="A637" s="6">
        <v>43426.427152777775</v>
      </c>
      <c r="B637" s="7" t="str">
        <f>HYPERLINK("https://twitter.com/Cambio16","@Cambio16")</f>
        <v>@Cambio16</v>
      </c>
      <c r="C637" s="8" t="s">
        <v>1563</v>
      </c>
      <c r="D637" s="9" t="s">
        <v>1565</v>
      </c>
      <c r="E637" s="10" t="str">
        <f>HYPERLINK("https://twitter.com/Cambio16/status/1065670021215649792","1065670021215649792")</f>
        <v>1065670021215649792</v>
      </c>
      <c r="F637" s="14" t="s">
        <v>1567</v>
      </c>
      <c r="G637" s="14" t="s">
        <v>1568</v>
      </c>
      <c r="H637" s="11"/>
      <c r="I637" s="12">
        <v>0</v>
      </c>
      <c r="J637" s="12">
        <v>1</v>
      </c>
      <c r="K637" s="13" t="str">
        <f>HYPERLINK("https://www.hootsuite.com","Hootsuite Inc.")</f>
        <v>Hootsuite Inc.</v>
      </c>
      <c r="L637" s="12">
        <v>17345</v>
      </c>
      <c r="M637" s="12">
        <v>765</v>
      </c>
      <c r="N637" s="12">
        <v>499</v>
      </c>
      <c r="O637" s="15"/>
      <c r="P637" s="6">
        <v>40341.117245370369</v>
      </c>
      <c r="Q637" s="16" t="s">
        <v>93</v>
      </c>
      <c r="R637" s="17" t="s">
        <v>1570</v>
      </c>
      <c r="S637" s="14" t="s">
        <v>1571</v>
      </c>
      <c r="T637" s="11"/>
      <c r="U637" s="10" t="str">
        <f>HYPERLINK("https://pbs.twimg.com/profile_images/1060221846208069632/vJfJ3_T5.jpg","View")</f>
        <v>View</v>
      </c>
    </row>
    <row r="638" spans="1:21" ht="40.799999999999997">
      <c r="A638" s="6">
        <v>43426.427118055552</v>
      </c>
      <c r="B638" s="7" t="str">
        <f>HYPERLINK("https://twitter.com/nakascit","@nakascit")</f>
        <v>@nakascit</v>
      </c>
      <c r="C638" s="8" t="s">
        <v>4102</v>
      </c>
      <c r="D638" s="9" t="s">
        <v>4103</v>
      </c>
      <c r="E638" s="10" t="str">
        <f>HYPERLINK("https://twitter.com/nakascit/status/1065670007575728128","1065670007575728128")</f>
        <v>1065670007575728128</v>
      </c>
      <c r="F638" s="11"/>
      <c r="G638" s="14" t="s">
        <v>4106</v>
      </c>
      <c r="H638" s="11"/>
      <c r="I638" s="12">
        <v>0</v>
      </c>
      <c r="J638" s="12">
        <v>0</v>
      </c>
      <c r="K638" s="13" t="str">
        <f>HYPERLINK("http://twitter.com","Twitter Web Client")</f>
        <v>Twitter Web Client</v>
      </c>
      <c r="L638" s="12">
        <v>356</v>
      </c>
      <c r="M638" s="12">
        <v>1295</v>
      </c>
      <c r="N638" s="12">
        <v>13</v>
      </c>
      <c r="O638" s="15"/>
      <c r="P638" s="6">
        <v>40420.48778935185</v>
      </c>
      <c r="Q638" s="16" t="s">
        <v>4107</v>
      </c>
      <c r="R638" s="17" t="s">
        <v>4108</v>
      </c>
      <c r="S638" s="14" t="s">
        <v>4109</v>
      </c>
      <c r="T638" s="11"/>
      <c r="U638" s="10" t="str">
        <f>HYPERLINK("https://pbs.twimg.com/profile_images/1060955343868608514/YRZvLnkB.jpg","View")</f>
        <v>View</v>
      </c>
    </row>
    <row r="639" spans="1:21" ht="61.2">
      <c r="A639" s="6">
        <v>43426.421307870369</v>
      </c>
      <c r="B639" s="7" t="str">
        <f>HYPERLINK("https://twitter.com/josep_turu","@josep_turu")</f>
        <v>@josep_turu</v>
      </c>
      <c r="C639" s="8" t="s">
        <v>481</v>
      </c>
      <c r="D639" s="9" t="s">
        <v>1574</v>
      </c>
      <c r="E639" s="10" t="str">
        <f>HYPERLINK("https://twitter.com/josep_turu/status/1065667902093824001","1065667902093824001")</f>
        <v>1065667902093824001</v>
      </c>
      <c r="F639" s="11"/>
      <c r="G639" s="11"/>
      <c r="H639" s="11"/>
      <c r="I639" s="12">
        <v>1</v>
      </c>
      <c r="J639" s="12">
        <v>3</v>
      </c>
      <c r="K639" s="13" t="str">
        <f>HYPERLINK("http://twitter.com/download/android","Twitter for Android")</f>
        <v>Twitter for Android</v>
      </c>
      <c r="L639" s="12">
        <v>254</v>
      </c>
      <c r="M639" s="12">
        <v>432</v>
      </c>
      <c r="N639" s="12">
        <v>0</v>
      </c>
      <c r="O639" s="15"/>
      <c r="P639" s="6">
        <v>43327.486666666664</v>
      </c>
      <c r="Q639" s="16" t="s">
        <v>483</v>
      </c>
      <c r="R639" s="17" t="s">
        <v>484</v>
      </c>
      <c r="S639" s="14" t="s">
        <v>485</v>
      </c>
      <c r="T639" s="11"/>
      <c r="U639" s="10" t="str">
        <f>HYPERLINK("https://pbs.twimg.com/profile_images/1031129221714923520/Svss_bB9.jpg","View")</f>
        <v>View</v>
      </c>
    </row>
    <row r="640" spans="1:21" ht="20.399999999999999">
      <c r="A640" s="6">
        <v>43426.421226851853</v>
      </c>
      <c r="B640" s="7" t="str">
        <f>HYPERLINK("https://twitter.com/DavidVillaDom","@DavidVillaDom")</f>
        <v>@DavidVillaDom</v>
      </c>
      <c r="C640" s="8" t="s">
        <v>4117</v>
      </c>
      <c r="D640" s="9" t="s">
        <v>4118</v>
      </c>
      <c r="E640" s="10" t="str">
        <f>HYPERLINK("https://twitter.com/DavidVillaDom/status/1065667873643929600","1065667873643929600")</f>
        <v>1065667873643929600</v>
      </c>
      <c r="F640" s="11"/>
      <c r="G640" s="14" t="s">
        <v>4119</v>
      </c>
      <c r="H640" s="11"/>
      <c r="I640" s="12">
        <v>0</v>
      </c>
      <c r="J640" s="12">
        <v>0</v>
      </c>
      <c r="K640" s="13" t="str">
        <f>HYPERLINK("http://twitter.com","Twitter Web Client")</f>
        <v>Twitter Web Client</v>
      </c>
      <c r="L640" s="12">
        <v>1903</v>
      </c>
      <c r="M640" s="12">
        <v>1894</v>
      </c>
      <c r="N640" s="12">
        <v>44</v>
      </c>
      <c r="O640" s="15"/>
      <c r="P640" s="6">
        <v>40700.202731481484</v>
      </c>
      <c r="Q640" s="16" t="s">
        <v>87</v>
      </c>
      <c r="R640" s="17" t="s">
        <v>4121</v>
      </c>
      <c r="S640" s="11"/>
      <c r="T640" s="11"/>
      <c r="U640" s="10" t="str">
        <f>HYPERLINK("https://pbs.twimg.com/profile_images/793387530653687808/h7OLxt_l.jpg","View")</f>
        <v>View</v>
      </c>
    </row>
    <row r="641" spans="1:21" ht="51">
      <c r="A641" s="6">
        <v>43426.420462962968</v>
      </c>
      <c r="B641" s="7" t="str">
        <f>HYPERLINK("https://twitter.com/PCamorrista","@PCamorrista")</f>
        <v>@PCamorrista</v>
      </c>
      <c r="C641" s="8" t="s">
        <v>193</v>
      </c>
      <c r="D641" s="9" t="s">
        <v>4123</v>
      </c>
      <c r="E641" s="10" t="str">
        <f>HYPERLINK("https://twitter.com/PCamorrista/status/1065667597109202944","1065667597109202944")</f>
        <v>1065667597109202944</v>
      </c>
      <c r="F641" s="14" t="s">
        <v>2633</v>
      </c>
      <c r="G641" s="11"/>
      <c r="H641" s="11"/>
      <c r="I641" s="12">
        <v>42</v>
      </c>
      <c r="J641" s="12">
        <v>30</v>
      </c>
      <c r="K641" s="13" t="str">
        <f>HYPERLINK("http://twitter.com/download/iphone","Twitter for iPhone")</f>
        <v>Twitter for iPhone</v>
      </c>
      <c r="L641" s="12">
        <v>1956</v>
      </c>
      <c r="M641" s="12">
        <v>1977</v>
      </c>
      <c r="N641" s="12">
        <v>10</v>
      </c>
      <c r="O641" s="15"/>
      <c r="P641" s="6">
        <v>43114.009884259256</v>
      </c>
      <c r="Q641" s="16" t="s">
        <v>28</v>
      </c>
      <c r="R641" s="17" t="s">
        <v>196</v>
      </c>
      <c r="S641" s="14" t="s">
        <v>197</v>
      </c>
      <c r="T641" s="11"/>
      <c r="U641" s="10" t="str">
        <f>HYPERLINK("https://pbs.twimg.com/profile_images/952459031083397120/u6DBThkF.jpg","View")</f>
        <v>View</v>
      </c>
    </row>
    <row r="642" spans="1:21" ht="20.399999999999999">
      <c r="A642" s="6">
        <v>43426.419988425929</v>
      </c>
      <c r="B642" s="7" t="str">
        <f>HYPERLINK("https://twitter.com/aguscam","@aguscam")</f>
        <v>@aguscam</v>
      </c>
      <c r="C642" s="8" t="s">
        <v>4125</v>
      </c>
      <c r="D642" s="9" t="s">
        <v>768</v>
      </c>
      <c r="E642" s="10" t="str">
        <f>HYPERLINK("https://twitter.com/aguscam/status/1065667421644734465","1065667421644734465")</f>
        <v>1065667421644734465</v>
      </c>
      <c r="F642" s="14" t="s">
        <v>529</v>
      </c>
      <c r="G642" s="11"/>
      <c r="H642" s="11"/>
      <c r="I642" s="12">
        <v>0</v>
      </c>
      <c r="J642" s="12">
        <v>0</v>
      </c>
      <c r="K642" s="13" t="str">
        <f t="shared" ref="K642:K643" si="137">HYPERLINK("http://twitter.com","Twitter Web Client")</f>
        <v>Twitter Web Client</v>
      </c>
      <c r="L642" s="12">
        <v>108</v>
      </c>
      <c r="M642" s="12">
        <v>113</v>
      </c>
      <c r="N642" s="12">
        <v>6</v>
      </c>
      <c r="O642" s="15"/>
      <c r="P642" s="6">
        <v>40018.414074074077</v>
      </c>
      <c r="Q642" s="11"/>
      <c r="R642" s="19"/>
      <c r="S642" s="11"/>
      <c r="T642" s="11"/>
      <c r="U642" s="10" t="str">
        <f>HYPERLINK("https://pbs.twimg.com/profile_images/776542406263054337/-CIevjRb.jpg","View")</f>
        <v>View</v>
      </c>
    </row>
    <row r="643" spans="1:21" ht="20.399999999999999">
      <c r="A643" s="6">
        <v>43426.419456018513</v>
      </c>
      <c r="B643" s="7" t="str">
        <f>HYPERLINK("https://twitter.com/Selimelturco","@Selimelturco")</f>
        <v>@Selimelturco</v>
      </c>
      <c r="C643" s="8" t="s">
        <v>4130</v>
      </c>
      <c r="D643" s="9" t="s">
        <v>4131</v>
      </c>
      <c r="E643" s="10" t="str">
        <f>HYPERLINK("https://twitter.com/Selimelturco/status/1065667230984257538","1065667230984257538")</f>
        <v>1065667230984257538</v>
      </c>
      <c r="F643" s="11"/>
      <c r="G643" s="11"/>
      <c r="H643" s="11"/>
      <c r="I643" s="12">
        <v>0</v>
      </c>
      <c r="J643" s="12">
        <v>3</v>
      </c>
      <c r="K643" s="13" t="str">
        <f t="shared" si="137"/>
        <v>Twitter Web Client</v>
      </c>
      <c r="L643" s="12">
        <v>2729</v>
      </c>
      <c r="M643" s="12">
        <v>331</v>
      </c>
      <c r="N643" s="12">
        <v>24</v>
      </c>
      <c r="O643" s="15"/>
      <c r="P643" s="6">
        <v>42716.109513888892</v>
      </c>
      <c r="Q643" s="16" t="s">
        <v>4133</v>
      </c>
      <c r="R643" s="17" t="s">
        <v>4134</v>
      </c>
      <c r="S643" s="14" t="s">
        <v>4135</v>
      </c>
      <c r="T643" s="11"/>
      <c r="U643" s="10" t="str">
        <f>HYPERLINK("https://pbs.twimg.com/profile_images/1057908398145110016/f4Tr1Dvc.jpg","View")</f>
        <v>View</v>
      </c>
    </row>
    <row r="644" spans="1:21" ht="40.799999999999997">
      <c r="A644" s="6">
        <v>43426.418888888889</v>
      </c>
      <c r="B644" s="7" t="str">
        <f>HYPERLINK("https://twitter.com/maximors45","@maximors45")</f>
        <v>@maximors45</v>
      </c>
      <c r="C644" s="8" t="s">
        <v>4136</v>
      </c>
      <c r="D644" s="9" t="s">
        <v>4137</v>
      </c>
      <c r="E644" s="10" t="str">
        <f>HYPERLINK("https://twitter.com/maximors45/status/1065667026767806464","1065667026767806464")</f>
        <v>1065667026767806464</v>
      </c>
      <c r="F644" s="14" t="s">
        <v>1316</v>
      </c>
      <c r="G644" s="11"/>
      <c r="H644" s="11"/>
      <c r="I644" s="12">
        <v>0</v>
      </c>
      <c r="J644" s="12">
        <v>0</v>
      </c>
      <c r="K644" s="13" t="str">
        <f>HYPERLINK("http://twitter.com/download/android","Twitter for Android")</f>
        <v>Twitter for Android</v>
      </c>
      <c r="L644" s="12">
        <v>7321</v>
      </c>
      <c r="M644" s="12">
        <v>6287</v>
      </c>
      <c r="N644" s="12">
        <v>212</v>
      </c>
      <c r="O644" s="15"/>
      <c r="P644" s="6">
        <v>41713.44425925926</v>
      </c>
      <c r="Q644" s="16" t="s">
        <v>4138</v>
      </c>
      <c r="R644" s="17" t="s">
        <v>4139</v>
      </c>
      <c r="S644" s="11"/>
      <c r="T644" s="11"/>
      <c r="U644" s="10" t="str">
        <f>HYPERLINK("https://pbs.twimg.com/profile_images/1063386537101012998/36434Wof.jpg","View")</f>
        <v>View</v>
      </c>
    </row>
    <row r="645" spans="1:21" ht="61.2">
      <c r="A645" s="6">
        <v>43426.418263888889</v>
      </c>
      <c r="B645" s="7" t="str">
        <f>HYPERLINK("https://twitter.com/ciberiaentweet","@ciberiaentweet")</f>
        <v>@ciberiaentweet</v>
      </c>
      <c r="C645" s="8" t="s">
        <v>1579</v>
      </c>
      <c r="D645" s="9" t="s">
        <v>1580</v>
      </c>
      <c r="E645" s="10" t="str">
        <f>HYPERLINK("https://twitter.com/ciberiaentweet/status/1065666799381958666","1065666799381958666")</f>
        <v>1065666799381958666</v>
      </c>
      <c r="F645" s="11"/>
      <c r="G645" s="14" t="s">
        <v>1581</v>
      </c>
      <c r="H645" s="11"/>
      <c r="I645" s="12">
        <v>0</v>
      </c>
      <c r="J645" s="12">
        <v>0</v>
      </c>
      <c r="K645" s="13" t="str">
        <f>HYPERLINK("http://twitter.com","Twitter Web Client")</f>
        <v>Twitter Web Client</v>
      </c>
      <c r="L645" s="12">
        <v>941</v>
      </c>
      <c r="M645" s="12">
        <v>868</v>
      </c>
      <c r="N645" s="12">
        <v>70</v>
      </c>
      <c r="O645" s="15"/>
      <c r="P645" s="6">
        <v>40261.249328703707</v>
      </c>
      <c r="Q645" s="16" t="s">
        <v>1582</v>
      </c>
      <c r="R645" s="17" t="s">
        <v>1584</v>
      </c>
      <c r="S645" s="14" t="s">
        <v>1586</v>
      </c>
      <c r="T645" s="11"/>
      <c r="U645" s="10" t="str">
        <f>HYPERLINK("https://pbs.twimg.com/profile_images/1048925070389862402/W26X2_nz.jpg","View")</f>
        <v>View</v>
      </c>
    </row>
    <row r="646" spans="1:21" ht="40.799999999999997">
      <c r="A646" s="6">
        <v>43426.41805555555</v>
      </c>
      <c r="B646" s="7" t="str">
        <f>HYPERLINK("https://twitter.com/bitMomentum","@bitMomentum")</f>
        <v>@bitMomentum</v>
      </c>
      <c r="C646" s="8" t="s">
        <v>1033</v>
      </c>
      <c r="D646" s="9" t="s">
        <v>1589</v>
      </c>
      <c r="E646" s="10" t="str">
        <f>HYPERLINK("https://twitter.com/bitMomentum/status/1065666721393098752","1065666721393098752")</f>
        <v>1065666721393098752</v>
      </c>
      <c r="F646" s="11"/>
      <c r="G646" s="11"/>
      <c r="H646" s="11"/>
      <c r="I646" s="12">
        <v>0</v>
      </c>
      <c r="J646" s="12">
        <v>1</v>
      </c>
      <c r="K646" s="13" t="str">
        <f>HYPERLINK("http://www.bitmomentum.com","bitMomentum Bot")</f>
        <v>bitMomentum Bot</v>
      </c>
      <c r="L646" s="12">
        <v>10132</v>
      </c>
      <c r="M646" s="12">
        <v>1060</v>
      </c>
      <c r="N646" s="12">
        <v>267</v>
      </c>
      <c r="O646" s="15"/>
      <c r="P646" s="6">
        <v>41608.292511574073</v>
      </c>
      <c r="Q646" s="11"/>
      <c r="R646" s="17" t="s">
        <v>1038</v>
      </c>
      <c r="S646" s="14" t="s">
        <v>1039</v>
      </c>
      <c r="T646" s="11"/>
      <c r="U646" s="10" t="str">
        <f>HYPERLINK("https://pbs.twimg.com/profile_images/378800000862185241/20ij2H3u.png","View")</f>
        <v>View</v>
      </c>
    </row>
    <row r="647" spans="1:21" ht="51">
      <c r="A647" s="6">
        <v>43426.417766203704</v>
      </c>
      <c r="B647" s="7" t="str">
        <f>HYPERLINK("https://twitter.com/PBMarbeMalaga","@PBMarbeMalaga")</f>
        <v>@PBMarbeMalaga</v>
      </c>
      <c r="C647" s="8" t="s">
        <v>3898</v>
      </c>
      <c r="D647" s="9" t="s">
        <v>4146</v>
      </c>
      <c r="E647" s="10" t="str">
        <f>HYPERLINK("https://twitter.com/PBMarbeMalaga/status/1065666619182063617","1065666619182063617")</f>
        <v>1065666619182063617</v>
      </c>
      <c r="F647" s="11"/>
      <c r="G647" s="11"/>
      <c r="H647" s="11"/>
      <c r="I647" s="12">
        <v>0</v>
      </c>
      <c r="J647" s="12">
        <v>0</v>
      </c>
      <c r="K647" s="13" t="str">
        <f>HYPERLINK("https://javitang.ddns.net","PBMarbeMalaga")</f>
        <v>PBMarbeMalaga</v>
      </c>
      <c r="L647" s="12">
        <v>1222</v>
      </c>
      <c r="M647" s="12">
        <v>1245</v>
      </c>
      <c r="N647" s="12">
        <v>2</v>
      </c>
      <c r="O647" s="15"/>
      <c r="P647" s="6">
        <v>43149.439074074078</v>
      </c>
      <c r="Q647" s="16" t="s">
        <v>3899</v>
      </c>
      <c r="R647" s="17" t="s">
        <v>3900</v>
      </c>
      <c r="S647" s="11"/>
      <c r="T647" s="11"/>
      <c r="U647" s="10" t="str">
        <f>HYPERLINK("https://pbs.twimg.com/profile_images/965296691145531392/sAFnfUu2.jpg","View")</f>
        <v>View</v>
      </c>
    </row>
    <row r="648" spans="1:21" ht="81.599999999999994">
      <c r="A648" s="6">
        <v>43426.417187500003</v>
      </c>
      <c r="B648" s="7" t="str">
        <f>HYPERLINK("https://twitter.com/ParaMicroBio","@ParaMicroBio")</f>
        <v>@ParaMicroBio</v>
      </c>
      <c r="C648" s="8" t="s">
        <v>1593</v>
      </c>
      <c r="D648" s="9" t="s">
        <v>1594</v>
      </c>
      <c r="E648" s="10" t="str">
        <f>HYPERLINK("https://twitter.com/ParaMicroBio/status/1065666408653209600","1065666408653209600")</f>
        <v>1065666408653209600</v>
      </c>
      <c r="F648" s="16" t="s">
        <v>1595</v>
      </c>
      <c r="G648" s="14" t="s">
        <v>1596</v>
      </c>
      <c r="H648" s="11"/>
      <c r="I648" s="12">
        <v>0</v>
      </c>
      <c r="J648" s="12">
        <v>2</v>
      </c>
      <c r="K648" s="13" t="str">
        <f>HYPERLINK("http://twitter.com","Twitter Web Client")</f>
        <v>Twitter Web Client</v>
      </c>
      <c r="L648" s="12">
        <v>520</v>
      </c>
      <c r="M648" s="12">
        <v>1675</v>
      </c>
      <c r="N648" s="12">
        <v>5</v>
      </c>
      <c r="O648" s="15"/>
      <c r="P648" s="6">
        <v>43088.334282407406</v>
      </c>
      <c r="Q648" s="16" t="s">
        <v>28</v>
      </c>
      <c r="R648" s="17" t="s">
        <v>1597</v>
      </c>
      <c r="S648" s="14" t="s">
        <v>1598</v>
      </c>
      <c r="T648" s="11"/>
      <c r="U648" s="10" t="str">
        <f>HYPERLINK("https://pbs.twimg.com/profile_images/943157383945220097/J6H96pxp.jpg","View")</f>
        <v>View</v>
      </c>
    </row>
    <row r="649" spans="1:21" ht="20.399999999999999">
      <c r="A649" s="6">
        <v>43426.417129629626</v>
      </c>
      <c r="B649" s="7" t="str">
        <f>HYPERLINK("https://twitter.com/Trompeta36","@Trompeta36")</f>
        <v>@Trompeta36</v>
      </c>
      <c r="C649" s="8" t="s">
        <v>4151</v>
      </c>
      <c r="D649" s="9" t="s">
        <v>4152</v>
      </c>
      <c r="E649" s="10" t="str">
        <f>HYPERLINK("https://twitter.com/Trompeta36/status/1065666387035791360","1065666387035791360")</f>
        <v>1065666387035791360</v>
      </c>
      <c r="F649" s="14" t="s">
        <v>4154</v>
      </c>
      <c r="G649" s="11"/>
      <c r="H649" s="11"/>
      <c r="I649" s="12">
        <v>0</v>
      </c>
      <c r="J649" s="12">
        <v>0</v>
      </c>
      <c r="K649" s="13" t="str">
        <f>HYPERLINK("http://www.facebook.com/twitter","Facebook")</f>
        <v>Facebook</v>
      </c>
      <c r="L649" s="12">
        <v>2262</v>
      </c>
      <c r="M649" s="12">
        <v>2952</v>
      </c>
      <c r="N649" s="12">
        <v>0</v>
      </c>
      <c r="O649" s="15"/>
      <c r="P649" s="6">
        <v>40835.176631944443</v>
      </c>
      <c r="Q649" s="16" t="s">
        <v>4155</v>
      </c>
      <c r="R649" s="17" t="s">
        <v>4156</v>
      </c>
      <c r="S649" s="11"/>
      <c r="T649" s="11"/>
      <c r="U649" s="10" t="str">
        <f>HYPERLINK("https://pbs.twimg.com/profile_images/723132334489346048/JJaObwC9.jpg","View")</f>
        <v>View</v>
      </c>
    </row>
    <row r="650" spans="1:21" ht="40.799999999999997">
      <c r="A650" s="6">
        <v>43426.417013888888</v>
      </c>
      <c r="B650" s="7" t="str">
        <f>HYPERLINK("https://twitter.com/slaymultimedios","@slaymultimedios")</f>
        <v>@slaymultimedios</v>
      </c>
      <c r="C650" s="8" t="s">
        <v>236</v>
      </c>
      <c r="D650" s="9" t="s">
        <v>4158</v>
      </c>
      <c r="E650" s="10" t="str">
        <f>HYPERLINK("https://twitter.com/slaymultimedios/status/1065666345759588353","1065666345759588353")</f>
        <v>1065666345759588353</v>
      </c>
      <c r="F650" s="14" t="s">
        <v>4161</v>
      </c>
      <c r="G650" s="11"/>
      <c r="H650" s="11"/>
      <c r="I650" s="12">
        <v>0</v>
      </c>
      <c r="J650" s="12">
        <v>0</v>
      </c>
      <c r="K650" s="13" t="str">
        <f>HYPERLINK("http://www.slaymultimedios.com","WebSiteSlayMultimedios")</f>
        <v>WebSiteSlayMultimedios</v>
      </c>
      <c r="L650" s="12">
        <v>41749</v>
      </c>
      <c r="M650" s="12">
        <v>178</v>
      </c>
      <c r="N650" s="12">
        <v>410</v>
      </c>
      <c r="O650" s="15"/>
      <c r="P650" s="6">
        <v>40209.55605324074</v>
      </c>
      <c r="Q650" s="16" t="s">
        <v>241</v>
      </c>
      <c r="R650" s="17" t="s">
        <v>242</v>
      </c>
      <c r="S650" s="14" t="s">
        <v>233</v>
      </c>
      <c r="T650" s="11"/>
      <c r="U650" s="10" t="str">
        <f>HYPERLINK("https://pbs.twimg.com/profile_images/714690465916817408/1NXaiuED.jpg","View")</f>
        <v>View</v>
      </c>
    </row>
    <row r="651" spans="1:21" ht="30.6">
      <c r="A651" s="6">
        <v>43426.414826388893</v>
      </c>
      <c r="B651" s="7" t="str">
        <f>HYPERLINK("https://twitter.com/jumt01","@jumt01")</f>
        <v>@jumt01</v>
      </c>
      <c r="C651" s="8" t="s">
        <v>4163</v>
      </c>
      <c r="D651" s="9" t="s">
        <v>4164</v>
      </c>
      <c r="E651" s="10" t="str">
        <f>HYPERLINK("https://twitter.com/jumt01/status/1065665553589854209","1065665553589854209")</f>
        <v>1065665553589854209</v>
      </c>
      <c r="F651" s="14" t="s">
        <v>4165</v>
      </c>
      <c r="G651" s="14" t="s">
        <v>4166</v>
      </c>
      <c r="H651" s="11"/>
      <c r="I651" s="12">
        <v>0</v>
      </c>
      <c r="J651" s="12">
        <v>1</v>
      </c>
      <c r="K651" s="13" t="str">
        <f>HYPERLINK("http://twitter.com/download/android","Twitter for Android")</f>
        <v>Twitter for Android</v>
      </c>
      <c r="L651" s="12">
        <v>427</v>
      </c>
      <c r="M651" s="12">
        <v>193</v>
      </c>
      <c r="N651" s="12">
        <v>2</v>
      </c>
      <c r="O651" s="15"/>
      <c r="P651" s="6">
        <v>41245.425324074073</v>
      </c>
      <c r="Q651" s="16" t="s">
        <v>93</v>
      </c>
      <c r="R651" s="17" t="s">
        <v>4167</v>
      </c>
      <c r="S651" s="14" t="s">
        <v>4168</v>
      </c>
      <c r="T651" s="11"/>
      <c r="U651" s="10" t="str">
        <f>HYPERLINK("https://pbs.twimg.com/profile_images/939193651456077825/MCh_I0-u.jpg","View")</f>
        <v>View</v>
      </c>
    </row>
    <row r="652" spans="1:21" ht="51">
      <c r="A652" s="6">
        <v>43426.413310185184</v>
      </c>
      <c r="B652" s="7" t="str">
        <f>HYPERLINK("https://twitter.com/TorTeixeira","@TorTeixeira")</f>
        <v>@TorTeixeira</v>
      </c>
      <c r="C652" s="8" t="s">
        <v>4171</v>
      </c>
      <c r="D652" s="9" t="s">
        <v>4172</v>
      </c>
      <c r="E652" s="10" t="str">
        <f>HYPERLINK("https://twitter.com/TorTeixeira/status/1065665004253446145","1065665004253446145")</f>
        <v>1065665004253446145</v>
      </c>
      <c r="F652" s="14" t="s">
        <v>529</v>
      </c>
      <c r="G652" s="11"/>
      <c r="H652" s="11"/>
      <c r="I652" s="12">
        <v>0</v>
      </c>
      <c r="J652" s="12">
        <v>0</v>
      </c>
      <c r="K652" s="13" t="str">
        <f>HYPERLINK("http://twitter.com","Twitter Web Client")</f>
        <v>Twitter Web Client</v>
      </c>
      <c r="L652" s="12">
        <v>501</v>
      </c>
      <c r="M652" s="12">
        <v>977</v>
      </c>
      <c r="N652" s="12">
        <v>10</v>
      </c>
      <c r="O652" s="15"/>
      <c r="P652" s="6">
        <v>40681.893321759257</v>
      </c>
      <c r="Q652" s="16" t="s">
        <v>4176</v>
      </c>
      <c r="R652" s="17" t="s">
        <v>4177</v>
      </c>
      <c r="S652" s="11"/>
      <c r="T652" s="11"/>
      <c r="U652" s="10" t="str">
        <f>HYPERLINK("https://pbs.twimg.com/profile_images/580360109538185216/EzSmKKGZ.jpg","View")</f>
        <v>View</v>
      </c>
    </row>
    <row r="653" spans="1:21" ht="51">
      <c r="A653" s="6">
        <v>43426.412476851852</v>
      </c>
      <c r="B653" s="7" t="str">
        <f>HYPERLINK("https://twitter.com/caval100","@caval100")</f>
        <v>@caval100</v>
      </c>
      <c r="C653" s="8" t="s">
        <v>1789</v>
      </c>
      <c r="D653" s="9" t="s">
        <v>4178</v>
      </c>
      <c r="E653" s="10" t="str">
        <f>HYPERLINK("https://twitter.com/caval100/status/1065664700510294016","1065664700510294016")</f>
        <v>1065664700510294016</v>
      </c>
      <c r="F653" s="14" t="s">
        <v>96</v>
      </c>
      <c r="G653" s="11"/>
      <c r="H653" s="11"/>
      <c r="I653" s="12">
        <v>2</v>
      </c>
      <c r="J653" s="12">
        <v>2</v>
      </c>
      <c r="K653" s="13" t="str">
        <f>HYPERLINK("http://twitter.com/download/android","Twitter for Android")</f>
        <v>Twitter for Android</v>
      </c>
      <c r="L653" s="12">
        <v>119224</v>
      </c>
      <c r="M653" s="12">
        <v>94076</v>
      </c>
      <c r="N653" s="12">
        <v>980</v>
      </c>
      <c r="O653" s="15"/>
      <c r="P653" s="6">
        <v>40079.062094907407</v>
      </c>
      <c r="Q653" s="16" t="s">
        <v>475</v>
      </c>
      <c r="R653" s="17" t="s">
        <v>1793</v>
      </c>
      <c r="S653" s="14" t="s">
        <v>1795</v>
      </c>
      <c r="T653" s="11"/>
      <c r="U653" s="10" t="str">
        <f>HYPERLINK("https://pbs.twimg.com/profile_images/965350678301429760/uvGI7g8U.jpg","View")</f>
        <v>View</v>
      </c>
    </row>
    <row r="654" spans="1:21" ht="30.6">
      <c r="A654" s="6">
        <v>43426.412349537037</v>
      </c>
      <c r="B654" s="7" t="str">
        <f>HYPERLINK("https://twitter.com/elentirvigo","@elentirvigo")</f>
        <v>@elentirvigo</v>
      </c>
      <c r="C654" s="8" t="s">
        <v>4180</v>
      </c>
      <c r="D654" s="9" t="s">
        <v>4181</v>
      </c>
      <c r="E654" s="10" t="str">
        <f>HYPERLINK("https://twitter.com/elentirvigo/status/1065664656046505984","1065664656046505984")</f>
        <v>1065664656046505984</v>
      </c>
      <c r="F654" s="14" t="s">
        <v>1037</v>
      </c>
      <c r="G654" s="11"/>
      <c r="H654" s="11"/>
      <c r="I654" s="12">
        <v>69</v>
      </c>
      <c r="J654" s="12">
        <v>95</v>
      </c>
      <c r="K654" s="13" t="str">
        <f>HYPERLINK("http://twitter.com","Twitter Web Client")</f>
        <v>Twitter Web Client</v>
      </c>
      <c r="L654" s="12">
        <v>16446</v>
      </c>
      <c r="M654" s="12">
        <v>897</v>
      </c>
      <c r="N654" s="12">
        <v>407</v>
      </c>
      <c r="O654" s="15"/>
      <c r="P654" s="6">
        <v>39477.716956018521</v>
      </c>
      <c r="Q654" s="16" t="s">
        <v>4186</v>
      </c>
      <c r="R654" s="17" t="s">
        <v>4187</v>
      </c>
      <c r="S654" s="14" t="s">
        <v>4188</v>
      </c>
      <c r="T654" s="11"/>
      <c r="U654" s="10" t="str">
        <f>HYPERLINK("https://pbs.twimg.com/profile_images/921206855178825733/TTl2kiSU.jpg","View")</f>
        <v>View</v>
      </c>
    </row>
    <row r="655" spans="1:21" ht="71.400000000000006">
      <c r="A655" s="6">
        <v>43426.411562499998</v>
      </c>
      <c r="B655" s="7" t="str">
        <f>HYPERLINK("https://twitter.com/mfinternacional","@mfinternacional")</f>
        <v>@mfinternacional</v>
      </c>
      <c r="C655" s="8" t="s">
        <v>1599</v>
      </c>
      <c r="D655" s="9" t="s">
        <v>1600</v>
      </c>
      <c r="E655" s="10" t="str">
        <f>HYPERLINK("https://twitter.com/mfinternacional/status/1065664370640912384","1065664370640912384")</f>
        <v>1065664370640912384</v>
      </c>
      <c r="F655" s="14" t="s">
        <v>1554</v>
      </c>
      <c r="G655" s="14" t="s">
        <v>1555</v>
      </c>
      <c r="H655" s="11"/>
      <c r="I655" s="12">
        <v>0</v>
      </c>
      <c r="J655" s="12">
        <v>0</v>
      </c>
      <c r="K655" s="13" t="str">
        <f>HYPERLINK("http://twitter.com/download/iphone","Twitter for iPhone")</f>
        <v>Twitter for iPhone</v>
      </c>
      <c r="L655" s="12">
        <v>89</v>
      </c>
      <c r="M655" s="12">
        <v>1104</v>
      </c>
      <c r="N655" s="12">
        <v>0</v>
      </c>
      <c r="O655" s="15"/>
      <c r="P655" s="6">
        <v>40312.283194444448</v>
      </c>
      <c r="Q655" s="11"/>
      <c r="R655" s="19"/>
      <c r="S655" s="11"/>
      <c r="T655" s="11"/>
      <c r="U655" s="10" t="str">
        <f>HYPERLINK("https://pbs.twimg.com/profile_images/1951147398/corazon.gif","View")</f>
        <v>View</v>
      </c>
    </row>
    <row r="656" spans="1:21" ht="20.399999999999999">
      <c r="A656" s="6">
        <v>43426.411296296297</v>
      </c>
      <c r="B656" s="7" t="str">
        <f>HYPERLINK("https://twitter.com/aguilafede","@aguilafede")</f>
        <v>@aguilafede</v>
      </c>
      <c r="C656" s="8" t="s">
        <v>4195</v>
      </c>
      <c r="D656" s="9" t="s">
        <v>768</v>
      </c>
      <c r="E656" s="10" t="str">
        <f>HYPERLINK("https://twitter.com/aguilafede/status/1065664273127493635","1065664273127493635")</f>
        <v>1065664273127493635</v>
      </c>
      <c r="F656" s="14" t="s">
        <v>529</v>
      </c>
      <c r="G656" s="11"/>
      <c r="H656" s="11"/>
      <c r="I656" s="12">
        <v>0</v>
      </c>
      <c r="J656" s="12">
        <v>0</v>
      </c>
      <c r="K656" s="13" t="str">
        <f t="shared" ref="K656:K658" si="138">HYPERLINK("http://twitter.com","Twitter Web Client")</f>
        <v>Twitter Web Client</v>
      </c>
      <c r="L656" s="12">
        <v>83</v>
      </c>
      <c r="M656" s="12">
        <v>120</v>
      </c>
      <c r="N656" s="12">
        <v>2</v>
      </c>
      <c r="O656" s="15"/>
      <c r="P656" s="6">
        <v>39795.177303240736</v>
      </c>
      <c r="Q656" s="16" t="s">
        <v>4198</v>
      </c>
      <c r="R656" s="17" t="s">
        <v>4199</v>
      </c>
      <c r="S656" s="11"/>
      <c r="T656" s="11"/>
      <c r="U656" s="10" t="str">
        <f>HYPERLINK("https://pbs.twimg.com/profile_images/815347770286608384/bFUiGLqL.jpg","View")</f>
        <v>View</v>
      </c>
    </row>
    <row r="657" spans="1:21" ht="40.799999999999997">
      <c r="A657" s="6">
        <v>43426.410497685181</v>
      </c>
      <c r="B657" s="7" t="str">
        <f>HYPERLINK("https://twitter.com/Titanicarlos","@Titanicarlos")</f>
        <v>@Titanicarlos</v>
      </c>
      <c r="C657" s="8" t="s">
        <v>4201</v>
      </c>
      <c r="D657" s="9" t="s">
        <v>4202</v>
      </c>
      <c r="E657" s="10" t="str">
        <f>HYPERLINK("https://twitter.com/Titanicarlos/status/1065663985205288961","1065663985205288961")</f>
        <v>1065663985205288961</v>
      </c>
      <c r="F657" s="16" t="s">
        <v>4205</v>
      </c>
      <c r="G657" s="11"/>
      <c r="H657" s="11"/>
      <c r="I657" s="12">
        <v>0</v>
      </c>
      <c r="J657" s="12">
        <v>0</v>
      </c>
      <c r="K657" s="13" t="str">
        <f t="shared" si="138"/>
        <v>Twitter Web Client</v>
      </c>
      <c r="L657" s="12">
        <v>2094</v>
      </c>
      <c r="M657" s="12">
        <v>2119</v>
      </c>
      <c r="N657" s="12">
        <v>24</v>
      </c>
      <c r="O657" s="15"/>
      <c r="P657" s="6">
        <v>40733.534409722226</v>
      </c>
      <c r="Q657" s="16" t="s">
        <v>4206</v>
      </c>
      <c r="R657" s="17" t="s">
        <v>4207</v>
      </c>
      <c r="S657" s="14" t="s">
        <v>4208</v>
      </c>
      <c r="T657" s="11"/>
      <c r="U657" s="10" t="str">
        <f>HYPERLINK("https://pbs.twimg.com/profile_images/996644348065402881/EOHeD4Dj.jpg","View")</f>
        <v>View</v>
      </c>
    </row>
    <row r="658" spans="1:21" ht="40.799999999999997">
      <c r="A658" s="6">
        <v>43426.41002314815</v>
      </c>
      <c r="B658" s="7" t="str">
        <f>HYPERLINK("https://twitter.com/pmklose","@pmklose")</f>
        <v>@pmklose</v>
      </c>
      <c r="C658" s="8" t="s">
        <v>4213</v>
      </c>
      <c r="D658" s="9" t="s">
        <v>4214</v>
      </c>
      <c r="E658" s="10" t="str">
        <f>HYPERLINK("https://twitter.com/pmklose/status/1065663813909966848","1065663813909966848")</f>
        <v>1065663813909966848</v>
      </c>
      <c r="F658" s="14" t="s">
        <v>1267</v>
      </c>
      <c r="G658" s="14" t="s">
        <v>4216</v>
      </c>
      <c r="H658" s="11"/>
      <c r="I658" s="12">
        <v>4</v>
      </c>
      <c r="J658" s="12">
        <v>13</v>
      </c>
      <c r="K658" s="13" t="str">
        <f t="shared" si="138"/>
        <v>Twitter Web Client</v>
      </c>
      <c r="L658" s="12">
        <v>12656</v>
      </c>
      <c r="M658" s="12">
        <v>1020</v>
      </c>
      <c r="N658" s="12">
        <v>298</v>
      </c>
      <c r="O658" s="15"/>
      <c r="P658" s="6">
        <v>41315.035104166665</v>
      </c>
      <c r="Q658" s="16" t="s">
        <v>4218</v>
      </c>
      <c r="R658" s="17" t="s">
        <v>4219</v>
      </c>
      <c r="S658" s="11"/>
      <c r="T658" s="11"/>
      <c r="U658" s="10" t="str">
        <f>HYPERLINK("https://pbs.twimg.com/profile_images/632962042551529472/ubpLs2cx.jpg","View")</f>
        <v>View</v>
      </c>
    </row>
    <row r="659" spans="1:21" ht="20.399999999999999">
      <c r="A659" s="6">
        <v>43426.409907407404</v>
      </c>
      <c r="B659" s="7" t="str">
        <f>HYPERLINK("https://twitter.com/fdezjr","@fdezjr")</f>
        <v>@fdezjr</v>
      </c>
      <c r="C659" s="8" t="s">
        <v>4222</v>
      </c>
      <c r="D659" s="9" t="s">
        <v>4223</v>
      </c>
      <c r="E659" s="10" t="str">
        <f>HYPERLINK("https://twitter.com/fdezjr/status/1065663768628289537","1065663768628289537")</f>
        <v>1065663768628289537</v>
      </c>
      <c r="F659" s="14" t="s">
        <v>873</v>
      </c>
      <c r="G659" s="14" t="s">
        <v>874</v>
      </c>
      <c r="H659" s="11"/>
      <c r="I659" s="12">
        <v>0</v>
      </c>
      <c r="J659" s="12">
        <v>0</v>
      </c>
      <c r="K659" s="13" t="str">
        <f>HYPERLINK("http://twitter.com/download/iphone","Twitter for iPhone")</f>
        <v>Twitter for iPhone</v>
      </c>
      <c r="L659" s="12">
        <v>184</v>
      </c>
      <c r="M659" s="12">
        <v>300</v>
      </c>
      <c r="N659" s="12">
        <v>0</v>
      </c>
      <c r="O659" s="15"/>
      <c r="P659" s="6">
        <v>41266.163368055553</v>
      </c>
      <c r="Q659" s="16" t="s">
        <v>4227</v>
      </c>
      <c r="R659" s="17" t="s">
        <v>4228</v>
      </c>
      <c r="S659" s="11"/>
      <c r="T659" s="11"/>
      <c r="U659" s="10" t="str">
        <f>HYPERLINK("https://pbs.twimg.com/profile_images/641670596410089472/LXpNdUpp.jpg","View")</f>
        <v>View</v>
      </c>
    </row>
    <row r="660" spans="1:21" ht="61.2">
      <c r="A660" s="6">
        <v>43426.407233796301</v>
      </c>
      <c r="B660" s="7" t="str">
        <f>HYPERLINK("https://twitter.com/HMismisimo","@HMismisimo")</f>
        <v>@HMismisimo</v>
      </c>
      <c r="C660" s="8" t="s">
        <v>1601</v>
      </c>
      <c r="D660" s="9" t="s">
        <v>1602</v>
      </c>
      <c r="E660" s="10" t="str">
        <f>HYPERLINK("https://twitter.com/HMismisimo/status/1065662800108900352","1065662800108900352")</f>
        <v>1065662800108900352</v>
      </c>
      <c r="F660" s="11"/>
      <c r="G660" s="11"/>
      <c r="H660" s="11"/>
      <c r="I660" s="12">
        <v>0</v>
      </c>
      <c r="J660" s="12">
        <v>0</v>
      </c>
      <c r="K660" s="13" t="str">
        <f>HYPERLINK("http://twitter.com","Twitter Web Client")</f>
        <v>Twitter Web Client</v>
      </c>
      <c r="L660" s="12">
        <v>1</v>
      </c>
      <c r="M660" s="12">
        <v>7</v>
      </c>
      <c r="N660" s="12">
        <v>0</v>
      </c>
      <c r="O660" s="15"/>
      <c r="P660" s="6">
        <v>43376.616168981476</v>
      </c>
      <c r="Q660" s="11"/>
      <c r="R660" s="19"/>
      <c r="S660" s="11"/>
      <c r="T660" s="11"/>
      <c r="U660" s="10" t="str">
        <f>HYPERLINK("https://pbs.twimg.com/profile_images/1055140998437916673/AElqw44d.jpg","View")</f>
        <v>View</v>
      </c>
    </row>
    <row r="661" spans="1:21" ht="81.599999999999994">
      <c r="A661" s="6">
        <v>43426.40662037037</v>
      </c>
      <c r="B661" s="7" t="str">
        <f>HYPERLINK("https://twitter.com/franvg19","@franvg19")</f>
        <v>@franvg19</v>
      </c>
      <c r="C661" s="8" t="s">
        <v>1604</v>
      </c>
      <c r="D661" s="9" t="s">
        <v>1605</v>
      </c>
      <c r="E661" s="10" t="str">
        <f>HYPERLINK("https://twitter.com/franvg19/status/1065662580889333760","1065662580889333760")</f>
        <v>1065662580889333760</v>
      </c>
      <c r="F661" s="14" t="s">
        <v>1606</v>
      </c>
      <c r="G661" s="14" t="s">
        <v>1608</v>
      </c>
      <c r="H661" s="11"/>
      <c r="I661" s="12">
        <v>0</v>
      </c>
      <c r="J661" s="12">
        <v>0</v>
      </c>
      <c r="K661" s="13" t="str">
        <f>HYPERLINK("http://twitter.com/download/iphone","Twitter for iPhone")</f>
        <v>Twitter for iPhone</v>
      </c>
      <c r="L661" s="12">
        <v>66</v>
      </c>
      <c r="M661" s="12">
        <v>635</v>
      </c>
      <c r="N661" s="12">
        <v>0</v>
      </c>
      <c r="O661" s="15"/>
      <c r="P661" s="6">
        <v>43173.34239583333</v>
      </c>
      <c r="Q661" s="11"/>
      <c r="R661" s="17" t="s">
        <v>1611</v>
      </c>
      <c r="S661" s="11"/>
      <c r="T661" s="11"/>
      <c r="U661" s="10" t="str">
        <f>HYPERLINK("https://pbs.twimg.com/profile_images/981166861692764166/af92v69P.jpg","View")</f>
        <v>View</v>
      </c>
    </row>
    <row r="662" spans="1:21" ht="40.799999999999997">
      <c r="A662" s="6">
        <v>43426.4065625</v>
      </c>
      <c r="B662" s="7" t="str">
        <f>HYPERLINK("https://twitter.com/Albert_Foxxx","@Albert_Foxxx")</f>
        <v>@Albert_Foxxx</v>
      </c>
      <c r="C662" s="8" t="s">
        <v>4086</v>
      </c>
      <c r="D662" s="9" t="s">
        <v>4232</v>
      </c>
      <c r="E662" s="10" t="str">
        <f>HYPERLINK("https://twitter.com/Albert_Foxxx/status/1065662559926321153","1065662559926321153")</f>
        <v>1065662559926321153</v>
      </c>
      <c r="F662" s="11"/>
      <c r="G662" s="11"/>
      <c r="H662" s="11"/>
      <c r="I662" s="12">
        <v>17</v>
      </c>
      <c r="J662" s="12">
        <v>24</v>
      </c>
      <c r="K662" s="13" t="str">
        <f>HYPERLINK("http://twitter.com","Twitter Web Client")</f>
        <v>Twitter Web Client</v>
      </c>
      <c r="L662" s="12">
        <v>2067</v>
      </c>
      <c r="M662" s="12">
        <v>4995</v>
      </c>
      <c r="N662" s="12">
        <v>30</v>
      </c>
      <c r="O662" s="15"/>
      <c r="P662" s="6">
        <v>40814.413912037038</v>
      </c>
      <c r="Q662" s="16" t="s">
        <v>1188</v>
      </c>
      <c r="R662" s="17" t="s">
        <v>4089</v>
      </c>
      <c r="S662" s="11"/>
      <c r="T662" s="11"/>
      <c r="U662" s="10" t="str">
        <f>HYPERLINK("https://pbs.twimg.com/profile_images/1010547135136362496/i61LPDSG.jpg","View")</f>
        <v>View</v>
      </c>
    </row>
    <row r="663" spans="1:21" ht="20.399999999999999">
      <c r="A663" s="6">
        <v>43426.406435185185</v>
      </c>
      <c r="B663" s="7" t="str">
        <f>HYPERLINK("https://twitter.com/SalvaGarcia84","@SalvaGarcia84")</f>
        <v>@SalvaGarcia84</v>
      </c>
      <c r="C663" s="8" t="s">
        <v>4236</v>
      </c>
      <c r="D663" s="9" t="s">
        <v>4237</v>
      </c>
      <c r="E663" s="10" t="str">
        <f>HYPERLINK("https://twitter.com/SalvaGarcia84/status/1065662510974541824","1065662510974541824")</f>
        <v>1065662510974541824</v>
      </c>
      <c r="F663" s="14" t="s">
        <v>1267</v>
      </c>
      <c r="G663" s="14" t="s">
        <v>4238</v>
      </c>
      <c r="H663" s="11"/>
      <c r="I663" s="12">
        <v>0</v>
      </c>
      <c r="J663" s="12">
        <v>0</v>
      </c>
      <c r="K663" s="13" t="str">
        <f>HYPERLINK("http://twitter.com/download/android","Twitter for Android")</f>
        <v>Twitter for Android</v>
      </c>
      <c r="L663" s="12">
        <v>638</v>
      </c>
      <c r="M663" s="12">
        <v>833</v>
      </c>
      <c r="N663" s="12">
        <v>12</v>
      </c>
      <c r="O663" s="15"/>
      <c r="P663" s="6">
        <v>41536.708425925928</v>
      </c>
      <c r="Q663" s="16" t="s">
        <v>4240</v>
      </c>
      <c r="R663" s="17" t="s">
        <v>4241</v>
      </c>
      <c r="S663" s="14" t="s">
        <v>4242</v>
      </c>
      <c r="T663" s="11"/>
      <c r="U663" s="10" t="str">
        <f>HYPERLINK("https://pbs.twimg.com/profile_images/1049834657838243840/68BeZtZg.jpg","View")</f>
        <v>View</v>
      </c>
    </row>
    <row r="664" spans="1:21" ht="51">
      <c r="A664" s="6">
        <v>43426.406284722223</v>
      </c>
      <c r="B664" s="7" t="str">
        <f>HYPERLINK("https://twitter.com/AdeSiracusa","@AdeSiracusa")</f>
        <v>@AdeSiracusa</v>
      </c>
      <c r="C664" s="8" t="s">
        <v>3890</v>
      </c>
      <c r="D664" s="9" t="s">
        <v>4245</v>
      </c>
      <c r="E664" s="10" t="str">
        <f>HYPERLINK("https://twitter.com/AdeSiracusa/status/1065662458906456064","1065662458906456064")</f>
        <v>1065662458906456064</v>
      </c>
      <c r="F664" s="11"/>
      <c r="G664" s="11"/>
      <c r="H664" s="11"/>
      <c r="I664" s="12">
        <v>0</v>
      </c>
      <c r="J664" s="12">
        <v>0</v>
      </c>
      <c r="K664" s="13" t="str">
        <f>HYPERLINK("http://www.republicosvenezuela.com/","AdeSiracusa")</f>
        <v>AdeSiracusa</v>
      </c>
      <c r="L664" s="12">
        <v>3920</v>
      </c>
      <c r="M664" s="12">
        <v>3927</v>
      </c>
      <c r="N664" s="12">
        <v>12</v>
      </c>
      <c r="O664" s="15"/>
      <c r="P664" s="6">
        <v>42958.201388888891</v>
      </c>
      <c r="Q664" s="16" t="s">
        <v>3893</v>
      </c>
      <c r="R664" s="17" t="s">
        <v>3894</v>
      </c>
      <c r="S664" s="11"/>
      <c r="T664" s="11"/>
      <c r="U664" s="10" t="str">
        <f>HYPERLINK("https://pbs.twimg.com/profile_images/895978354591105024/x2wNXrPl.jpg","View")</f>
        <v>View</v>
      </c>
    </row>
    <row r="665" spans="1:21" ht="61.2">
      <c r="A665" s="6">
        <v>43426.405798611115</v>
      </c>
      <c r="B665" s="7" t="str">
        <f>HYPERLINK("https://twitter.com/TercioHispanico","@TercioHispanico")</f>
        <v>@TercioHispanico</v>
      </c>
      <c r="C665" s="8" t="s">
        <v>3885</v>
      </c>
      <c r="D665" s="9" t="s">
        <v>4250</v>
      </c>
      <c r="E665" s="10" t="str">
        <f>HYPERLINK("https://twitter.com/TercioHispanico/status/1065662282393403393","1065662282393403393")</f>
        <v>1065662282393403393</v>
      </c>
      <c r="F665" s="11"/>
      <c r="G665" s="11"/>
      <c r="H665" s="11"/>
      <c r="I665" s="12">
        <v>0</v>
      </c>
      <c r="J665" s="12">
        <v>0</v>
      </c>
      <c r="K665" s="13" t="str">
        <f>HYPERLINK("https://diariorc.com","Tercio Hispánico App C")</f>
        <v>Tercio Hispánico App C</v>
      </c>
      <c r="L665" s="12">
        <v>1463</v>
      </c>
      <c r="M665" s="12">
        <v>1448</v>
      </c>
      <c r="N665" s="12">
        <v>3</v>
      </c>
      <c r="O665" s="15"/>
      <c r="P665" s="6">
        <v>43074.442384259259</v>
      </c>
      <c r="Q665" s="16" t="s">
        <v>28</v>
      </c>
      <c r="R665" s="17" t="s">
        <v>3888</v>
      </c>
      <c r="S665" s="11"/>
      <c r="T665" s="11"/>
      <c r="U665" s="10" t="str">
        <f>HYPERLINK("https://pbs.twimg.com/profile_images/938810411045941249/GJ1yq9OJ.jpg","View")</f>
        <v>View</v>
      </c>
    </row>
    <row r="666" spans="1:21" ht="51">
      <c r="A666" s="6">
        <v>43426.405208333337</v>
      </c>
      <c r="B666" s="7" t="str">
        <f>HYPERLINK("https://twitter.com/Chatarrastur","@Chatarrastur")</f>
        <v>@Chatarrastur</v>
      </c>
      <c r="C666" s="8" t="s">
        <v>4255</v>
      </c>
      <c r="D666" s="9" t="s">
        <v>4256</v>
      </c>
      <c r="E666" s="10" t="str">
        <f>HYPERLINK("https://twitter.com/Chatarrastur/status/1065662067527614464","1065662067527614464")</f>
        <v>1065662067527614464</v>
      </c>
      <c r="F666" s="14" t="s">
        <v>1219</v>
      </c>
      <c r="G666" s="11"/>
      <c r="H666" s="11"/>
      <c r="I666" s="12">
        <v>0</v>
      </c>
      <c r="J666" s="12">
        <v>0</v>
      </c>
      <c r="K666" s="13" t="str">
        <f>HYPERLINK("http://twitter.com","Twitter Web Client")</f>
        <v>Twitter Web Client</v>
      </c>
      <c r="L666" s="12">
        <v>574</v>
      </c>
      <c r="M666" s="12">
        <v>558</v>
      </c>
      <c r="N666" s="12">
        <v>8</v>
      </c>
      <c r="O666" s="15"/>
      <c r="P666" s="6">
        <v>41251.201157407406</v>
      </c>
      <c r="Q666" s="11"/>
      <c r="R666" s="17" t="s">
        <v>4259</v>
      </c>
      <c r="S666" s="11"/>
      <c r="T666" s="11"/>
      <c r="U666" s="10" t="str">
        <f>HYPERLINK("https://pbs.twimg.com/profile_images/750008786027417600/giB71Qxj.jpg","View")</f>
        <v>View</v>
      </c>
    </row>
    <row r="667" spans="1:21" ht="30.6">
      <c r="A667" s="6">
        <v>43426.404641203699</v>
      </c>
      <c r="B667" s="7" t="str">
        <f>HYPERLINK("https://twitter.com/PutoPete","@PutoPete")</f>
        <v>@PutoPete</v>
      </c>
      <c r="C667" s="8" t="s">
        <v>1612</v>
      </c>
      <c r="D667" s="9" t="s">
        <v>1613</v>
      </c>
      <c r="E667" s="10" t="str">
        <f>HYPERLINK("https://twitter.com/PutoPete/status/1065661862778494977","1065661862778494977")</f>
        <v>1065661862778494977</v>
      </c>
      <c r="F667" s="14" t="s">
        <v>1469</v>
      </c>
      <c r="G667" s="14" t="s">
        <v>1470</v>
      </c>
      <c r="H667" s="11"/>
      <c r="I667" s="12">
        <v>0</v>
      </c>
      <c r="J667" s="12">
        <v>0</v>
      </c>
      <c r="K667" s="13" t="str">
        <f>HYPERLINK("http://twitter.com/download/android","Twitter for Android")</f>
        <v>Twitter for Android</v>
      </c>
      <c r="L667" s="12">
        <v>111</v>
      </c>
      <c r="M667" s="12">
        <v>337</v>
      </c>
      <c r="N667" s="12">
        <v>0</v>
      </c>
      <c r="O667" s="15"/>
      <c r="P667" s="6">
        <v>41248.24936342593</v>
      </c>
      <c r="Q667" s="16" t="s">
        <v>1614</v>
      </c>
      <c r="R667" s="19"/>
      <c r="S667" s="11"/>
      <c r="T667" s="11"/>
      <c r="U667" s="10" t="str">
        <f>HYPERLINK("https://pbs.twimg.com/profile_images/2936320392/056ef9d0b90ba773b4b5f0ce7b3c3058.jpeg","View")</f>
        <v>View</v>
      </c>
    </row>
    <row r="668" spans="1:21" ht="20.399999999999999">
      <c r="A668" s="6">
        <v>43426.404537037037</v>
      </c>
      <c r="B668" s="7" t="str">
        <f>HYPERLINK("https://twitter.com/GETSU22","@GETSU22")</f>
        <v>@GETSU22</v>
      </c>
      <c r="C668" s="8" t="s">
        <v>4264</v>
      </c>
      <c r="D668" s="9" t="s">
        <v>4265</v>
      </c>
      <c r="E668" s="10" t="str">
        <f>HYPERLINK("https://twitter.com/GETSU22/status/1065661822043344896","1065661822043344896")</f>
        <v>1065661822043344896</v>
      </c>
      <c r="F668" s="14" t="s">
        <v>4266</v>
      </c>
      <c r="G668" s="11"/>
      <c r="H668" s="11"/>
      <c r="I668" s="12">
        <v>0</v>
      </c>
      <c r="J668" s="12">
        <v>0</v>
      </c>
      <c r="K668" s="13" t="str">
        <f t="shared" ref="K668:K669" si="139">HYPERLINK("http://twitter.com","Twitter Web Client")</f>
        <v>Twitter Web Client</v>
      </c>
      <c r="L668" s="12">
        <v>9</v>
      </c>
      <c r="M668" s="12">
        <v>143</v>
      </c>
      <c r="N668" s="12">
        <v>0</v>
      </c>
      <c r="O668" s="15"/>
      <c r="P668" s="6">
        <v>40681.657824074078</v>
      </c>
      <c r="Q668" s="11"/>
      <c r="R668" s="19"/>
      <c r="S668" s="11"/>
      <c r="T668" s="11"/>
      <c r="U668" s="18" t="s">
        <v>168</v>
      </c>
    </row>
    <row r="669" spans="1:21" ht="40.799999999999997">
      <c r="A669" s="6">
        <v>43426.404444444444</v>
      </c>
      <c r="B669" s="7" t="str">
        <f>HYPERLINK("https://twitter.com/tuerka_ovt","@tuerka_ovt")</f>
        <v>@tuerka_ovt</v>
      </c>
      <c r="C669" s="8" t="s">
        <v>4269</v>
      </c>
      <c r="D669" s="9" t="s">
        <v>4270</v>
      </c>
      <c r="E669" s="10" t="str">
        <f>HYPERLINK("https://twitter.com/tuerka_ovt/status/1065661788509868034","1065661788509868034")</f>
        <v>1065661788509868034</v>
      </c>
      <c r="F669" s="11"/>
      <c r="G669" s="14" t="s">
        <v>4272</v>
      </c>
      <c r="H669" s="11"/>
      <c r="I669" s="12">
        <v>19</v>
      </c>
      <c r="J669" s="12">
        <v>38</v>
      </c>
      <c r="K669" s="13" t="str">
        <f t="shared" si="139"/>
        <v>Twitter Web Client</v>
      </c>
      <c r="L669" s="12">
        <v>178771</v>
      </c>
      <c r="M669" s="12">
        <v>8390</v>
      </c>
      <c r="N669" s="12">
        <v>1899</v>
      </c>
      <c r="O669" s="15"/>
      <c r="P669" s="6">
        <v>40496.424328703702</v>
      </c>
      <c r="Q669" s="16" t="s">
        <v>38</v>
      </c>
      <c r="R669" s="17" t="s">
        <v>4274</v>
      </c>
      <c r="S669" s="11"/>
      <c r="T669" s="11"/>
      <c r="U669" s="10" t="str">
        <f>HYPERLINK("https://pbs.twimg.com/profile_images/974345759188504580/InpH7cQq.jpg","View")</f>
        <v>View</v>
      </c>
    </row>
    <row r="670" spans="1:21" ht="61.2">
      <c r="A670" s="6">
        <v>43426.404166666667</v>
      </c>
      <c r="B670" s="7" t="str">
        <f>HYPERLINK("https://twitter.com/Radio_Sporting","@Radio_Sporting")</f>
        <v>@Radio_Sporting</v>
      </c>
      <c r="C670" s="8" t="s">
        <v>884</v>
      </c>
      <c r="D670" s="9" t="s">
        <v>3568</v>
      </c>
      <c r="E670" s="10" t="str">
        <f>HYPERLINK("https://twitter.com/Radio_Sporting/status/1065661689226502144","1065661689226502144")</f>
        <v>1065661689226502144</v>
      </c>
      <c r="F670" s="11"/>
      <c r="G670" s="14" t="s">
        <v>4279</v>
      </c>
      <c r="H670" s="11"/>
      <c r="I670" s="12">
        <v>3</v>
      </c>
      <c r="J670" s="12">
        <v>2</v>
      </c>
      <c r="K670" s="13" t="str">
        <f>HYPERLINK("https://about.twitter.com/products/tweetdeck","TweetDeck")</f>
        <v>TweetDeck</v>
      </c>
      <c r="L670" s="12">
        <v>2244</v>
      </c>
      <c r="M670" s="12">
        <v>1450</v>
      </c>
      <c r="N670" s="12">
        <v>35</v>
      </c>
      <c r="O670" s="15"/>
      <c r="P670" s="6">
        <v>41810.058981481481</v>
      </c>
      <c r="Q670" s="16" t="s">
        <v>891</v>
      </c>
      <c r="R670" s="17" t="s">
        <v>892</v>
      </c>
      <c r="S670" s="14" t="s">
        <v>893</v>
      </c>
      <c r="T670" s="11"/>
      <c r="U670" s="10" t="str">
        <f>HYPERLINK("https://pbs.twimg.com/profile_images/1046720125746008067/7_1_XRaL.jpg","View")</f>
        <v>View</v>
      </c>
    </row>
    <row r="671" spans="1:21" ht="102">
      <c r="A671" s="6">
        <v>43426.403506944444</v>
      </c>
      <c r="B671" s="7" t="str">
        <f>HYPERLINK("https://twitter.com/nicadigital","@nicadigital")</f>
        <v>@nicadigital</v>
      </c>
      <c r="C671" s="8" t="s">
        <v>1616</v>
      </c>
      <c r="D671" s="9" t="s">
        <v>1617</v>
      </c>
      <c r="E671" s="10" t="str">
        <f>HYPERLINK("https://twitter.com/nicadigital/status/1065661452302909441","1065661452302909441")</f>
        <v>1065661452302909441</v>
      </c>
      <c r="F671" s="16" t="s">
        <v>1620</v>
      </c>
      <c r="G671" s="11"/>
      <c r="H671" s="11"/>
      <c r="I671" s="12">
        <v>9</v>
      </c>
      <c r="J671" s="12">
        <v>9</v>
      </c>
      <c r="K671" s="13" t="str">
        <f>HYPERLINK("http://twitter.com/download/android","Twitter for Android")</f>
        <v>Twitter for Android</v>
      </c>
      <c r="L671" s="12">
        <v>1199</v>
      </c>
      <c r="M671" s="12">
        <v>2463</v>
      </c>
      <c r="N671" s="12">
        <v>4</v>
      </c>
      <c r="O671" s="15"/>
      <c r="P671" s="6">
        <v>42411.817812499998</v>
      </c>
      <c r="Q671" s="16" t="s">
        <v>1621</v>
      </c>
      <c r="R671" s="17" t="s">
        <v>1622</v>
      </c>
      <c r="S671" s="14" t="s">
        <v>1623</v>
      </c>
      <c r="T671" s="11"/>
      <c r="U671" s="10" t="str">
        <f>HYPERLINK("https://pbs.twimg.com/profile_images/697988734399033344/foEaSvEJ.png","View")</f>
        <v>View</v>
      </c>
    </row>
    <row r="672" spans="1:21" ht="40.799999999999997">
      <c r="A672" s="6">
        <v>43426.40289351852</v>
      </c>
      <c r="B672" s="7" t="str">
        <f>HYPERLINK("https://twitter.com/lextresabogados","@lextresabogados")</f>
        <v>@lextresabogados</v>
      </c>
      <c r="C672" s="8" t="s">
        <v>1806</v>
      </c>
      <c r="D672" s="9" t="s">
        <v>3132</v>
      </c>
      <c r="E672" s="10" t="str">
        <f>HYPERLINK("https://twitter.com/lextresabogados/status/1065661227836280832","1065661227836280832")</f>
        <v>1065661227836280832</v>
      </c>
      <c r="F672" s="14" t="s">
        <v>3905</v>
      </c>
      <c r="G672" s="14" t="s">
        <v>4288</v>
      </c>
      <c r="H672" s="11"/>
      <c r="I672" s="12">
        <v>0</v>
      </c>
      <c r="J672" s="12">
        <v>0</v>
      </c>
      <c r="K672" s="13" t="str">
        <f>HYPERLINK("http://35.180.36.179","botize nueva")</f>
        <v>botize nueva</v>
      </c>
      <c r="L672" s="12">
        <v>2230</v>
      </c>
      <c r="M672" s="12">
        <v>3277</v>
      </c>
      <c r="N672" s="12">
        <v>22</v>
      </c>
      <c r="O672" s="15"/>
      <c r="P672" s="6">
        <v>42880.395949074074</v>
      </c>
      <c r="Q672" s="16" t="s">
        <v>123</v>
      </c>
      <c r="R672" s="17" t="s">
        <v>1810</v>
      </c>
      <c r="S672" s="14" t="s">
        <v>1811</v>
      </c>
      <c r="T672" s="11"/>
      <c r="U672" s="10" t="str">
        <f>HYPERLINK("https://pbs.twimg.com/profile_images/1058352229546164224/xnNCczNu.jpg","View")</f>
        <v>View</v>
      </c>
    </row>
    <row r="673" spans="1:21" ht="40.799999999999997">
      <c r="A673" s="6">
        <v>43426.402777777781</v>
      </c>
      <c r="B673" s="7" t="str">
        <f>HYPERLINK("https://twitter.com/Pablo_Iglesias_","@Pablo_Iglesias_")</f>
        <v>@Pablo_Iglesias_</v>
      </c>
      <c r="C673" s="8" t="s">
        <v>383</v>
      </c>
      <c r="D673" s="9" t="s">
        <v>4293</v>
      </c>
      <c r="E673" s="10" t="str">
        <f>HYPERLINK("https://twitter.com/Pablo_Iglesias_/status/1065661185431822336","1065661185431822336")</f>
        <v>1065661185431822336</v>
      </c>
      <c r="F673" s="14" t="s">
        <v>4295</v>
      </c>
      <c r="G673" s="14" t="s">
        <v>213</v>
      </c>
      <c r="H673" s="11"/>
      <c r="I673" s="12">
        <v>599</v>
      </c>
      <c r="J673" s="12">
        <v>964</v>
      </c>
      <c r="K673" s="13" t="str">
        <f>HYPERLINK("https://studio.twitter.com","Media Studio")</f>
        <v>Media Studio</v>
      </c>
      <c r="L673" s="12">
        <v>2240182</v>
      </c>
      <c r="M673" s="12">
        <v>2735</v>
      </c>
      <c r="N673" s="12">
        <v>8469</v>
      </c>
      <c r="O673" s="18" t="s">
        <v>52</v>
      </c>
      <c r="P673" s="6">
        <v>40351.200300925928</v>
      </c>
      <c r="Q673" s="16" t="s">
        <v>38</v>
      </c>
      <c r="R673" s="17" t="s">
        <v>389</v>
      </c>
      <c r="S673" s="14" t="s">
        <v>58</v>
      </c>
      <c r="T673" s="11"/>
      <c r="U673" s="10" t="str">
        <f>HYPERLINK("https://pbs.twimg.com/profile_images/902223370569338884/dL2D2A5P.jpg","View")</f>
        <v>View</v>
      </c>
    </row>
    <row r="674" spans="1:21" ht="30.6">
      <c r="A674" s="6">
        <v>43426.402395833335</v>
      </c>
      <c r="B674" s="7" t="str">
        <f>HYPERLINK("https://twitter.com/elEconomistaes","@elEconomistaes")</f>
        <v>@elEconomistaes</v>
      </c>
      <c r="C674" s="22" t="s">
        <v>4301</v>
      </c>
      <c r="D674" s="9" t="s">
        <v>3132</v>
      </c>
      <c r="E674" s="10" t="str">
        <f>HYPERLINK("https://twitter.com/elEconomistaes/status/1065661048886362112","1065661048886362112")</f>
        <v>1065661048886362112</v>
      </c>
      <c r="F674" s="14" t="s">
        <v>3905</v>
      </c>
      <c r="G674" s="14" t="s">
        <v>4305</v>
      </c>
      <c r="H674" s="11"/>
      <c r="I674" s="12">
        <v>2</v>
      </c>
      <c r="J674" s="12">
        <v>1</v>
      </c>
      <c r="K674" s="13" t="str">
        <f>HYPERLINK("http://twitter.com","Twitter Web Client")</f>
        <v>Twitter Web Client</v>
      </c>
      <c r="L674" s="12">
        <v>655202</v>
      </c>
      <c r="M674" s="12">
        <v>369</v>
      </c>
      <c r="N674" s="12">
        <v>8755</v>
      </c>
      <c r="O674" s="18" t="s">
        <v>52</v>
      </c>
      <c r="P674" s="6">
        <v>40373.10664351852</v>
      </c>
      <c r="Q674" s="11"/>
      <c r="R674" s="17" t="s">
        <v>4306</v>
      </c>
      <c r="S674" s="14" t="s">
        <v>4307</v>
      </c>
      <c r="T674" s="11"/>
      <c r="U674" s="10" t="str">
        <f>HYPERLINK("https://pbs.twimg.com/profile_images/899527230833012736/uMjGoE60.jpg","View")</f>
        <v>View</v>
      </c>
    </row>
    <row r="675" spans="1:21" ht="91.8">
      <c r="A675" s="6">
        <v>43426.400949074072</v>
      </c>
      <c r="B675" s="7" t="str">
        <f>HYPERLINK("https://twitter.com/CarlosAValverde","@CarlosAValverde")</f>
        <v>@CarlosAValverde</v>
      </c>
      <c r="C675" s="8" t="s">
        <v>1624</v>
      </c>
      <c r="D675" s="9" t="s">
        <v>1625</v>
      </c>
      <c r="E675" s="10" t="str">
        <f>HYPERLINK("https://twitter.com/CarlosAValverde/status/1065660523738484739","1065660523738484739")</f>
        <v>1065660523738484739</v>
      </c>
      <c r="F675" s="16" t="s">
        <v>1626</v>
      </c>
      <c r="G675" s="11"/>
      <c r="H675" s="11"/>
      <c r="I675" s="12">
        <v>0</v>
      </c>
      <c r="J675" s="12">
        <v>2</v>
      </c>
      <c r="K675" s="13" t="str">
        <f t="shared" ref="K675:K676" si="140">HYPERLINK("http://twitter.com/download/android","Twitter for Android")</f>
        <v>Twitter for Android</v>
      </c>
      <c r="L675" s="12">
        <v>711</v>
      </c>
      <c r="M675" s="12">
        <v>772</v>
      </c>
      <c r="N675" s="12">
        <v>19</v>
      </c>
      <c r="O675" s="15"/>
      <c r="P675" s="6">
        <v>40751.668217592596</v>
      </c>
      <c r="Q675" s="16" t="s">
        <v>87</v>
      </c>
      <c r="R675" s="17" t="s">
        <v>1627</v>
      </c>
      <c r="S675" s="14" t="s">
        <v>1628</v>
      </c>
      <c r="T675" s="11"/>
      <c r="U675" s="10" t="str">
        <f>HYPERLINK("https://pbs.twimg.com/profile_images/671726846250217472/Hr6vKR4s.jpg","View")</f>
        <v>View</v>
      </c>
    </row>
    <row r="676" spans="1:21" ht="51">
      <c r="A676" s="6">
        <v>43426.40042824074</v>
      </c>
      <c r="B676" s="7" t="str">
        <f>HYPERLINK("https://twitter.com/OrbitaEduardo","@OrbitaEduardo")</f>
        <v>@OrbitaEduardo</v>
      </c>
      <c r="C676" s="8" t="s">
        <v>4313</v>
      </c>
      <c r="D676" s="9" t="s">
        <v>4314</v>
      </c>
      <c r="E676" s="10" t="str">
        <f>HYPERLINK("https://twitter.com/OrbitaEduardo/status/1065660334629941249","1065660334629941249")</f>
        <v>1065660334629941249</v>
      </c>
      <c r="F676" s="11"/>
      <c r="G676" s="14" t="s">
        <v>4317</v>
      </c>
      <c r="H676" s="11"/>
      <c r="I676" s="12">
        <v>113</v>
      </c>
      <c r="J676" s="12">
        <v>121</v>
      </c>
      <c r="K676" s="13" t="str">
        <f t="shared" si="140"/>
        <v>Twitter for Android</v>
      </c>
      <c r="L676" s="12">
        <v>4223</v>
      </c>
      <c r="M676" s="12">
        <v>4719</v>
      </c>
      <c r="N676" s="12">
        <v>12</v>
      </c>
      <c r="O676" s="15"/>
      <c r="P676" s="6">
        <v>43109.999305555553</v>
      </c>
      <c r="Q676" s="16" t="s">
        <v>407</v>
      </c>
      <c r="R676" s="17" t="s">
        <v>4318</v>
      </c>
      <c r="S676" s="11"/>
      <c r="T676" s="11"/>
      <c r="U676" s="10" t="str">
        <f>HYPERLINK("https://pbs.twimg.com/profile_images/1034013666600001538/MmqVJqFc.jpg","View")</f>
        <v>View</v>
      </c>
    </row>
    <row r="677" spans="1:21" ht="40.799999999999997">
      <c r="A677" s="6">
        <v>43426.40016203704</v>
      </c>
      <c r="B677" s="7" t="str">
        <f>HYPERLINK("https://twitter.com/CarlosAvilaBaca","@CarlosAvilaBaca")</f>
        <v>@CarlosAvilaBaca</v>
      </c>
      <c r="C677" s="8" t="s">
        <v>4319</v>
      </c>
      <c r="D677" s="9" t="s">
        <v>4320</v>
      </c>
      <c r="E677" s="10" t="str">
        <f>HYPERLINK("https://twitter.com/CarlosAvilaBaca/status/1065660236772663297","1065660236772663297")</f>
        <v>1065660236772663297</v>
      </c>
      <c r="F677" s="14" t="s">
        <v>1219</v>
      </c>
      <c r="G677" s="11"/>
      <c r="H677" s="11"/>
      <c r="I677" s="12">
        <v>0</v>
      </c>
      <c r="J677" s="12">
        <v>0</v>
      </c>
      <c r="K677" s="13" t="str">
        <f>HYPERLINK("http://twitter.com","Twitter Web Client")</f>
        <v>Twitter Web Client</v>
      </c>
      <c r="L677" s="12">
        <v>933</v>
      </c>
      <c r="M677" s="12">
        <v>710</v>
      </c>
      <c r="N677" s="12">
        <v>3</v>
      </c>
      <c r="O677" s="15"/>
      <c r="P677" s="6">
        <v>40685.357175925928</v>
      </c>
      <c r="Q677" s="16" t="s">
        <v>4323</v>
      </c>
      <c r="R677" s="17" t="s">
        <v>4324</v>
      </c>
      <c r="S677" s="14" t="s">
        <v>4325</v>
      </c>
      <c r="T677" s="11"/>
      <c r="U677" s="10" t="str">
        <f>HYPERLINK("https://pbs.twimg.com/profile_images/819606891710087168/v4NQtlR0.jpg","View")</f>
        <v>View</v>
      </c>
    </row>
    <row r="678" spans="1:21" ht="40.799999999999997">
      <c r="A678" s="6">
        <v>43426.399131944447</v>
      </c>
      <c r="B678" s="7" t="str">
        <f>HYPERLINK("https://twitter.com/PodemosCLP","@PodemosCLP")</f>
        <v>@PodemosCLP</v>
      </c>
      <c r="C678" s="8" t="s">
        <v>1629</v>
      </c>
      <c r="D678" s="9" t="s">
        <v>1630</v>
      </c>
      <c r="E678" s="10" t="str">
        <f>HYPERLINK("https://twitter.com/PodemosCLP/status/1065659863475343361","1065659863475343361")</f>
        <v>1065659863475343361</v>
      </c>
      <c r="F678" s="16" t="s">
        <v>1631</v>
      </c>
      <c r="G678" s="11"/>
      <c r="H678" s="11"/>
      <c r="I678" s="12">
        <v>2</v>
      </c>
      <c r="J678" s="12">
        <v>2</v>
      </c>
      <c r="K678" s="13" t="str">
        <f>HYPERLINK("https://about.twitter.com/products/tweetdeck","TweetDeck")</f>
        <v>TweetDeck</v>
      </c>
      <c r="L678" s="12">
        <v>253</v>
      </c>
      <c r="M678" s="12">
        <v>180</v>
      </c>
      <c r="N678" s="12">
        <v>7</v>
      </c>
      <c r="O678" s="15"/>
      <c r="P678" s="6">
        <v>42829.556203703702</v>
      </c>
      <c r="Q678" s="16" t="s">
        <v>38</v>
      </c>
      <c r="R678" s="19"/>
      <c r="S678" s="11"/>
      <c r="T678" s="11"/>
      <c r="U678" s="10" t="str">
        <f>HYPERLINK("https://pbs.twimg.com/profile_images/972089254196207621/1ZB9deiP.jpg","View")</f>
        <v>View</v>
      </c>
    </row>
    <row r="679" spans="1:21" ht="40.799999999999997">
      <c r="A679" s="6">
        <v>43426.398472222223</v>
      </c>
      <c r="B679" s="7" t="str">
        <f>HYPERLINK("https://twitter.com/migupelo2","@migupelo2")</f>
        <v>@migupelo2</v>
      </c>
      <c r="C679" s="8" t="s">
        <v>354</v>
      </c>
      <c r="D679" s="9" t="s">
        <v>1634</v>
      </c>
      <c r="E679" s="10" t="str">
        <f>HYPERLINK("https://twitter.com/migupelo2/status/1065659628036505606","1065659628036505606")</f>
        <v>1065659628036505606</v>
      </c>
      <c r="F679" s="14" t="s">
        <v>1635</v>
      </c>
      <c r="G679" s="11"/>
      <c r="H679" s="11"/>
      <c r="I679" s="12">
        <v>0</v>
      </c>
      <c r="J679" s="12">
        <v>0</v>
      </c>
      <c r="K679" s="13" t="str">
        <f>HYPERLINK("http://twitter.com","Twitter Web Client")</f>
        <v>Twitter Web Client</v>
      </c>
      <c r="L679" s="12">
        <v>264</v>
      </c>
      <c r="M679" s="12">
        <v>760</v>
      </c>
      <c r="N679" s="12">
        <v>18</v>
      </c>
      <c r="O679" s="15"/>
      <c r="P679" s="6">
        <v>40477.493043981478</v>
      </c>
      <c r="Q679" s="11"/>
      <c r="R679" s="17" t="s">
        <v>357</v>
      </c>
      <c r="S679" s="11"/>
      <c r="T679" s="11"/>
      <c r="U679" s="10" t="str">
        <f>HYPERLINK("https://pbs.twimg.com/profile_images/2906316440/4ed1570f50fd6f70f1b28d458997dd81.jpeg","View")</f>
        <v>View</v>
      </c>
    </row>
    <row r="680" spans="1:21" ht="20.399999999999999">
      <c r="A680" s="6">
        <v>43426.396851851852</v>
      </c>
      <c r="B680" s="7" t="str">
        <f>HYPERLINK("https://twitter.com/McsXXi","@McsXXi")</f>
        <v>@McsXXi</v>
      </c>
      <c r="C680" s="8" t="s">
        <v>4335</v>
      </c>
      <c r="D680" s="9" t="s">
        <v>768</v>
      </c>
      <c r="E680" s="10" t="str">
        <f>HYPERLINK("https://twitter.com/McsXXi/status/1065659039428808709","1065659039428808709")</f>
        <v>1065659039428808709</v>
      </c>
      <c r="F680" s="14" t="s">
        <v>529</v>
      </c>
      <c r="G680" s="11"/>
      <c r="H680" s="11"/>
      <c r="I680" s="12">
        <v>0</v>
      </c>
      <c r="J680" s="12">
        <v>0</v>
      </c>
      <c r="K680" s="13" t="str">
        <f t="shared" ref="K680:K681" si="141">HYPERLINK("http://twitter.com/download/android","Twitter for Android")</f>
        <v>Twitter for Android</v>
      </c>
      <c r="L680" s="12">
        <v>3588</v>
      </c>
      <c r="M680" s="12">
        <v>3459</v>
      </c>
      <c r="N680" s="12">
        <v>18</v>
      </c>
      <c r="O680" s="15"/>
      <c r="P680" s="6">
        <v>40965.138842592591</v>
      </c>
      <c r="Q680" s="16" t="s">
        <v>132</v>
      </c>
      <c r="R680" s="17" t="s">
        <v>4338</v>
      </c>
      <c r="S680" s="11"/>
      <c r="T680" s="11"/>
      <c r="U680" s="10" t="str">
        <f>HYPERLINK("https://pbs.twimg.com/profile_images/969983553655144449/-X16Sku-.jpg","View")</f>
        <v>View</v>
      </c>
    </row>
    <row r="681" spans="1:21" ht="20.399999999999999">
      <c r="A681" s="6">
        <v>43426.396585648152</v>
      </c>
      <c r="B681" s="7" t="str">
        <f>HYPERLINK("https://twitter.com/carmenjr2010","@carmenjr2010")</f>
        <v>@carmenjr2010</v>
      </c>
      <c r="C681" s="8" t="s">
        <v>1638</v>
      </c>
      <c r="D681" s="9" t="s">
        <v>1639</v>
      </c>
      <c r="E681" s="10" t="str">
        <f>HYPERLINK("https://twitter.com/carmenjr2010/status/1065658940426502145","1065658940426502145")</f>
        <v>1065658940426502145</v>
      </c>
      <c r="F681" s="11"/>
      <c r="G681" s="11"/>
      <c r="H681" s="11"/>
      <c r="I681" s="12">
        <v>11</v>
      </c>
      <c r="J681" s="12">
        <v>5</v>
      </c>
      <c r="K681" s="13" t="str">
        <f t="shared" si="141"/>
        <v>Twitter for Android</v>
      </c>
      <c r="L681" s="12">
        <v>81</v>
      </c>
      <c r="M681" s="12">
        <v>85</v>
      </c>
      <c r="N681" s="12">
        <v>0</v>
      </c>
      <c r="O681" s="15"/>
      <c r="P681" s="6">
        <v>42119.042557870373</v>
      </c>
      <c r="Q681" s="11"/>
      <c r="R681" s="19"/>
      <c r="S681" s="11"/>
      <c r="T681" s="11"/>
      <c r="U681" s="10" t="str">
        <f>HYPERLINK("https://pbs.twimg.com/profile_images/591875312880885760/ACSpxEH1.jpg","View")</f>
        <v>View</v>
      </c>
    </row>
    <row r="682" spans="1:21" ht="20.399999999999999">
      <c r="A682" s="6">
        <v>43426.395902777775</v>
      </c>
      <c r="B682" s="7" t="str">
        <f t="shared" ref="B682:B683" si="142">HYPERLINK("https://twitter.com/AseHernanz","@AseHernanz")</f>
        <v>@AseHernanz</v>
      </c>
      <c r="C682" s="8" t="s">
        <v>4342</v>
      </c>
      <c r="D682" s="9" t="s">
        <v>4343</v>
      </c>
      <c r="E682" s="10" t="str">
        <f>HYPERLINK("https://twitter.com/AseHernanz/status/1065658695898533889","1065658695898533889")</f>
        <v>1065658695898533889</v>
      </c>
      <c r="F682" s="14" t="s">
        <v>4344</v>
      </c>
      <c r="G682" s="11"/>
      <c r="H682" s="11"/>
      <c r="I682" s="12">
        <v>0</v>
      </c>
      <c r="J682" s="12">
        <v>0</v>
      </c>
      <c r="K682" s="13" t="str">
        <f t="shared" ref="K682:K683" si="143">HYPERLINK("https://www.google.com/","Google")</f>
        <v>Google</v>
      </c>
      <c r="L682" s="12">
        <v>0</v>
      </c>
      <c r="M682" s="12">
        <v>1</v>
      </c>
      <c r="N682" s="12">
        <v>0</v>
      </c>
      <c r="O682" s="15"/>
      <c r="P682" s="6">
        <v>42898.089953703704</v>
      </c>
      <c r="Q682" s="11"/>
      <c r="R682" s="19"/>
      <c r="S682" s="11"/>
      <c r="T682" s="11"/>
      <c r="U682" s="18" t="s">
        <v>168</v>
      </c>
    </row>
    <row r="683" spans="1:21" ht="20.399999999999999">
      <c r="A683" s="6">
        <v>43426.395902777775</v>
      </c>
      <c r="B683" s="7" t="str">
        <f t="shared" si="142"/>
        <v>@AseHernanz</v>
      </c>
      <c r="C683" s="8" t="s">
        <v>4342</v>
      </c>
      <c r="D683" s="9" t="s">
        <v>4346</v>
      </c>
      <c r="E683" s="10" t="str">
        <f>HYPERLINK("https://twitter.com/AseHernanz/status/1065658695470718976","1065658695470718976")</f>
        <v>1065658695470718976</v>
      </c>
      <c r="F683" s="14" t="s">
        <v>4347</v>
      </c>
      <c r="G683" s="11"/>
      <c r="H683" s="11"/>
      <c r="I683" s="12">
        <v>0</v>
      </c>
      <c r="J683" s="12">
        <v>0</v>
      </c>
      <c r="K683" s="13" t="str">
        <f t="shared" si="143"/>
        <v>Google</v>
      </c>
      <c r="L683" s="12">
        <v>0</v>
      </c>
      <c r="M683" s="12">
        <v>1</v>
      </c>
      <c r="N683" s="12">
        <v>0</v>
      </c>
      <c r="O683" s="15"/>
      <c r="P683" s="6">
        <v>42898.089953703704</v>
      </c>
      <c r="Q683" s="11"/>
      <c r="R683" s="19"/>
      <c r="S683" s="11"/>
      <c r="T683" s="11"/>
      <c r="U683" s="18" t="s">
        <v>168</v>
      </c>
    </row>
    <row r="684" spans="1:21" ht="40.799999999999997">
      <c r="A684" s="6">
        <v>43426.395729166667</v>
      </c>
      <c r="B684" s="7" t="str">
        <f>HYPERLINK("https://twitter.com/migupelo2","@migupelo2")</f>
        <v>@migupelo2</v>
      </c>
      <c r="C684" s="8" t="s">
        <v>354</v>
      </c>
      <c r="D684" s="9" t="s">
        <v>1645</v>
      </c>
      <c r="E684" s="10" t="str">
        <f>HYPERLINK("https://twitter.com/migupelo2/status/1065658630123544576","1065658630123544576")</f>
        <v>1065658630123544576</v>
      </c>
      <c r="F684" s="14" t="s">
        <v>1646</v>
      </c>
      <c r="G684" s="11"/>
      <c r="H684" s="11"/>
      <c r="I684" s="12">
        <v>0</v>
      </c>
      <c r="J684" s="12">
        <v>0</v>
      </c>
      <c r="K684" s="13" t="str">
        <f t="shared" ref="K684:K687" si="144">HYPERLINK("http://twitter.com","Twitter Web Client")</f>
        <v>Twitter Web Client</v>
      </c>
      <c r="L684" s="12">
        <v>264</v>
      </c>
      <c r="M684" s="12">
        <v>760</v>
      </c>
      <c r="N684" s="12">
        <v>18</v>
      </c>
      <c r="O684" s="15"/>
      <c r="P684" s="6">
        <v>40477.493043981478</v>
      </c>
      <c r="Q684" s="11"/>
      <c r="R684" s="17" t="s">
        <v>357</v>
      </c>
      <c r="S684" s="11"/>
      <c r="T684" s="11"/>
      <c r="U684" s="10" t="str">
        <f>HYPERLINK("https://pbs.twimg.com/profile_images/2906316440/4ed1570f50fd6f70f1b28d458997dd81.jpeg","View")</f>
        <v>View</v>
      </c>
    </row>
    <row r="685" spans="1:21" ht="30.6">
      <c r="A685" s="6">
        <v>43426.395219907412</v>
      </c>
      <c r="B685" s="7" t="str">
        <f>HYPERLINK("https://twitter.com/SENK4MI","@SENK4MI")</f>
        <v>@SENK4MI</v>
      </c>
      <c r="C685" s="8" t="s">
        <v>4349</v>
      </c>
      <c r="D685" s="9" t="s">
        <v>3304</v>
      </c>
      <c r="E685" s="10" t="str">
        <f>HYPERLINK("https://twitter.com/SENK4MI/status/1065658446798905344","1065658446798905344")</f>
        <v>1065658446798905344</v>
      </c>
      <c r="F685" s="11"/>
      <c r="G685" s="11"/>
      <c r="H685" s="11"/>
      <c r="I685" s="12">
        <v>0</v>
      </c>
      <c r="J685" s="12">
        <v>1</v>
      </c>
      <c r="K685" s="13" t="str">
        <f t="shared" si="144"/>
        <v>Twitter Web Client</v>
      </c>
      <c r="L685" s="12">
        <v>328</v>
      </c>
      <c r="M685" s="12">
        <v>608</v>
      </c>
      <c r="N685" s="12">
        <v>1</v>
      </c>
      <c r="O685" s="15"/>
      <c r="P685" s="6">
        <v>42839.67668981482</v>
      </c>
      <c r="Q685" s="16" t="s">
        <v>406</v>
      </c>
      <c r="R685" s="17" t="s">
        <v>4352</v>
      </c>
      <c r="S685" s="14" t="s">
        <v>4353</v>
      </c>
      <c r="T685" s="11"/>
      <c r="U685" s="10" t="str">
        <f>HYPERLINK("https://pbs.twimg.com/profile_images/1065053755035582464/7I5InjIW.jpg","View")</f>
        <v>View</v>
      </c>
    </row>
    <row r="686" spans="1:21" ht="51">
      <c r="A686" s="6">
        <v>43426.394965277781</v>
      </c>
      <c r="B686" s="7" t="str">
        <f>HYPERLINK("https://twitter.com/ArolNordur","@ArolNordur")</f>
        <v>@ArolNordur</v>
      </c>
      <c r="C686" s="8" t="s">
        <v>1649</v>
      </c>
      <c r="D686" s="9" t="s">
        <v>1650</v>
      </c>
      <c r="E686" s="10" t="str">
        <f>HYPERLINK("https://twitter.com/ArolNordur/status/1065658356021542914","1065658356021542914")</f>
        <v>1065658356021542914</v>
      </c>
      <c r="F686" s="14" t="s">
        <v>96</v>
      </c>
      <c r="G686" s="11"/>
      <c r="H686" s="11"/>
      <c r="I686" s="12">
        <v>0</v>
      </c>
      <c r="J686" s="12">
        <v>0</v>
      </c>
      <c r="K686" s="13" t="str">
        <f t="shared" si="144"/>
        <v>Twitter Web Client</v>
      </c>
      <c r="L686" s="12">
        <v>27</v>
      </c>
      <c r="M686" s="12">
        <v>158</v>
      </c>
      <c r="N686" s="12">
        <v>3</v>
      </c>
      <c r="O686" s="15"/>
      <c r="P686" s="6">
        <v>42656.289479166662</v>
      </c>
      <c r="Q686" s="11"/>
      <c r="R686" s="19"/>
      <c r="S686" s="11"/>
      <c r="T686" s="11"/>
      <c r="U686" s="10" t="str">
        <f>HYPERLINK("https://pbs.twimg.com/profile_images/903550236731330560/PupSsUiG.jpg","View")</f>
        <v>View</v>
      </c>
    </row>
    <row r="687" spans="1:21" ht="30.6">
      <c r="A687" s="6">
        <v>43426.394641203704</v>
      </c>
      <c r="B687" s="7" t="str">
        <f>HYPERLINK("https://twitter.com/fer_bargar","@fer_bargar")</f>
        <v>@fer_bargar</v>
      </c>
      <c r="C687" s="8" t="s">
        <v>4357</v>
      </c>
      <c r="D687" s="9" t="s">
        <v>768</v>
      </c>
      <c r="E687" s="10" t="str">
        <f>HYPERLINK("https://twitter.com/fer_bargar/status/1065658237763100674","1065658237763100674")</f>
        <v>1065658237763100674</v>
      </c>
      <c r="F687" s="14" t="s">
        <v>529</v>
      </c>
      <c r="G687" s="11"/>
      <c r="H687" s="11"/>
      <c r="I687" s="12">
        <v>0</v>
      </c>
      <c r="J687" s="12">
        <v>0</v>
      </c>
      <c r="K687" s="13" t="str">
        <f t="shared" si="144"/>
        <v>Twitter Web Client</v>
      </c>
      <c r="L687" s="12">
        <v>103</v>
      </c>
      <c r="M687" s="12">
        <v>445</v>
      </c>
      <c r="N687" s="12">
        <v>0</v>
      </c>
      <c r="O687" s="15"/>
      <c r="P687" s="6">
        <v>42906.210057870368</v>
      </c>
      <c r="Q687" s="16" t="s">
        <v>38</v>
      </c>
      <c r="R687" s="17" t="s">
        <v>4360</v>
      </c>
      <c r="S687" s="16" t="s">
        <v>4361</v>
      </c>
      <c r="T687" s="11"/>
      <c r="U687" s="10" t="str">
        <f>HYPERLINK("https://pbs.twimg.com/profile_images/983606303221321728/V8mtI5qq.jpg","View")</f>
        <v>View</v>
      </c>
    </row>
    <row r="688" spans="1:21" ht="20.399999999999999">
      <c r="A688" s="6">
        <v>43426.394120370373</v>
      </c>
      <c r="B688" s="7" t="str">
        <f>HYPERLINK("https://twitter.com/meip09","@meip09")</f>
        <v>@meip09</v>
      </c>
      <c r="C688" s="8" t="s">
        <v>1659</v>
      </c>
      <c r="D688" s="9" t="s">
        <v>1660</v>
      </c>
      <c r="E688" s="10" t="str">
        <f>HYPERLINK("https://twitter.com/meip09/status/1065658048843264000","1065658048843264000")</f>
        <v>1065658048843264000</v>
      </c>
      <c r="F688" s="11"/>
      <c r="G688" s="11"/>
      <c r="H688" s="11"/>
      <c r="I688" s="12">
        <v>0</v>
      </c>
      <c r="J688" s="12">
        <v>0</v>
      </c>
      <c r="K688" s="13" t="str">
        <f>HYPERLINK("http://twitter.com/download/android","Twitter for Android")</f>
        <v>Twitter for Android</v>
      </c>
      <c r="L688" s="12">
        <v>50</v>
      </c>
      <c r="M688" s="12">
        <v>90</v>
      </c>
      <c r="N688" s="12">
        <v>0</v>
      </c>
      <c r="O688" s="15"/>
      <c r="P688" s="6">
        <v>43122.587800925925</v>
      </c>
      <c r="Q688" s="16" t="s">
        <v>1663</v>
      </c>
      <c r="R688" s="17" t="s">
        <v>1664</v>
      </c>
      <c r="S688" s="11"/>
      <c r="T688" s="11"/>
      <c r="U688" s="10" t="str">
        <f>HYPERLINK("https://pbs.twimg.com/profile_images/1063796673460211713/oKmJ4F8_.jpg","View")</f>
        <v>View</v>
      </c>
    </row>
    <row r="689" spans="1:21" ht="51">
      <c r="A689" s="6">
        <v>43426.394039351857</v>
      </c>
      <c r="B689" s="7" t="str">
        <f>HYPERLINK("https://twitter.com/antoniojulio79","@antoniojulio79")</f>
        <v>@antoniojulio79</v>
      </c>
      <c r="C689" s="8" t="s">
        <v>1667</v>
      </c>
      <c r="D689" s="9" t="s">
        <v>1668</v>
      </c>
      <c r="E689" s="10" t="str">
        <f>HYPERLINK("https://twitter.com/antoniojulio79/status/1065658019596378112","1065658019596378112")</f>
        <v>1065658019596378112</v>
      </c>
      <c r="F689" s="14" t="s">
        <v>1669</v>
      </c>
      <c r="G689" s="14" t="s">
        <v>1670</v>
      </c>
      <c r="H689" s="11"/>
      <c r="I689" s="12">
        <v>0</v>
      </c>
      <c r="J689" s="12">
        <v>1</v>
      </c>
      <c r="K689" s="13" t="str">
        <f>HYPERLINK("http://twitter.com/download/iphone","Twitter for iPhone")</f>
        <v>Twitter for iPhone</v>
      </c>
      <c r="L689" s="12">
        <v>3552</v>
      </c>
      <c r="M689" s="12">
        <v>3091</v>
      </c>
      <c r="N689" s="12">
        <v>35</v>
      </c>
      <c r="O689" s="15"/>
      <c r="P689" s="6">
        <v>40302.320104166669</v>
      </c>
      <c r="Q689" s="16" t="s">
        <v>1672</v>
      </c>
      <c r="R689" s="17" t="s">
        <v>1673</v>
      </c>
      <c r="S689" s="11"/>
      <c r="T689" s="11"/>
      <c r="U689" s="10" t="str">
        <f>HYPERLINK("https://pbs.twimg.com/profile_images/1065007756128731136/myzWqXeP.jpg","View")</f>
        <v>View</v>
      </c>
    </row>
    <row r="690" spans="1:21" ht="30.6">
      <c r="A690" s="6">
        <v>43426.393518518518</v>
      </c>
      <c r="B690" s="7" t="str">
        <f>HYPERLINK("https://twitter.com/MariaJo32036997","@MariaJo32036997")</f>
        <v>@MariaJo32036997</v>
      </c>
      <c r="C690" s="8" t="s">
        <v>4371</v>
      </c>
      <c r="D690" s="9" t="s">
        <v>1573</v>
      </c>
      <c r="E690" s="10" t="str">
        <f>HYPERLINK("https://twitter.com/MariaJo32036997/status/1065657829078503425","1065657829078503425")</f>
        <v>1065657829078503425</v>
      </c>
      <c r="F690" s="14" t="s">
        <v>1316</v>
      </c>
      <c r="G690" s="11"/>
      <c r="H690" s="11"/>
      <c r="I690" s="12">
        <v>0</v>
      </c>
      <c r="J690" s="12">
        <v>0</v>
      </c>
      <c r="K690" s="13" t="str">
        <f t="shared" ref="K690:K692" si="145">HYPERLINK("http://twitter.com/download/android","Twitter for Android")</f>
        <v>Twitter for Android</v>
      </c>
      <c r="L690" s="12">
        <v>53</v>
      </c>
      <c r="M690" s="12">
        <v>427</v>
      </c>
      <c r="N690" s="12">
        <v>0</v>
      </c>
      <c r="O690" s="15"/>
      <c r="P690" s="6">
        <v>43152.594189814816</v>
      </c>
      <c r="Q690" s="16" t="s">
        <v>4373</v>
      </c>
      <c r="R690" s="17" t="s">
        <v>4375</v>
      </c>
      <c r="S690" s="11"/>
      <c r="T690" s="11"/>
      <c r="U690" s="10" t="str">
        <f>HYPERLINK("https://pbs.twimg.com/profile_images/967823045770514432/YMit4x5f.jpg","View")</f>
        <v>View</v>
      </c>
    </row>
    <row r="691" spans="1:21" ht="51">
      <c r="A691" s="6">
        <v>43426.393425925926</v>
      </c>
      <c r="B691" s="7" t="str">
        <f>HYPERLINK("https://twitter.com/Jugar111","@Jugar111")</f>
        <v>@Jugar111</v>
      </c>
      <c r="C691" s="8" t="s">
        <v>4376</v>
      </c>
      <c r="D691" s="9" t="s">
        <v>4377</v>
      </c>
      <c r="E691" s="10" t="str">
        <f>HYPERLINK("https://twitter.com/Jugar111/status/1065657797931601920","1065657797931601920")</f>
        <v>1065657797931601920</v>
      </c>
      <c r="F691" s="11"/>
      <c r="G691" s="11"/>
      <c r="H691" s="11"/>
      <c r="I691" s="12">
        <v>0</v>
      </c>
      <c r="J691" s="12">
        <v>0</v>
      </c>
      <c r="K691" s="13" t="str">
        <f t="shared" si="145"/>
        <v>Twitter for Android</v>
      </c>
      <c r="L691" s="12">
        <v>354</v>
      </c>
      <c r="M691" s="12">
        <v>338</v>
      </c>
      <c r="N691" s="12">
        <v>7</v>
      </c>
      <c r="O691" s="15"/>
      <c r="P691" s="6">
        <v>42172.467418981483</v>
      </c>
      <c r="Q691" s="16" t="s">
        <v>4381</v>
      </c>
      <c r="R691" s="17" t="s">
        <v>4382</v>
      </c>
      <c r="S691" s="11"/>
      <c r="T691" s="11"/>
      <c r="U691" s="10" t="str">
        <f>HYPERLINK("https://pbs.twimg.com/profile_images/1062799813589299200/IAyuuVGU.jpg","View")</f>
        <v>View</v>
      </c>
    </row>
    <row r="692" spans="1:21" ht="40.799999999999997">
      <c r="A692" s="6">
        <v>43426.393148148149</v>
      </c>
      <c r="B692" s="7" t="str">
        <f>HYPERLINK("https://twitter.com/alonso_quixano","@alonso_quixano")</f>
        <v>@alonso_quixano</v>
      </c>
      <c r="C692" s="8" t="s">
        <v>4387</v>
      </c>
      <c r="D692" s="9" t="s">
        <v>4388</v>
      </c>
      <c r="E692" s="10" t="str">
        <f>HYPERLINK("https://twitter.com/alonso_quixano/status/1065657695297069056","1065657695297069056")</f>
        <v>1065657695297069056</v>
      </c>
      <c r="F692" s="11"/>
      <c r="G692" s="14" t="s">
        <v>4389</v>
      </c>
      <c r="H692" s="11"/>
      <c r="I692" s="12">
        <v>0</v>
      </c>
      <c r="J692" s="12">
        <v>1</v>
      </c>
      <c r="K692" s="13" t="str">
        <f t="shared" si="145"/>
        <v>Twitter for Android</v>
      </c>
      <c r="L692" s="12">
        <v>794</v>
      </c>
      <c r="M692" s="12">
        <v>471</v>
      </c>
      <c r="N692" s="12">
        <v>23</v>
      </c>
      <c r="O692" s="15"/>
      <c r="P692" s="6">
        <v>39821.492164351854</v>
      </c>
      <c r="Q692" s="16" t="s">
        <v>4391</v>
      </c>
      <c r="R692" s="17" t="s">
        <v>4392</v>
      </c>
      <c r="S692" s="14" t="s">
        <v>4393</v>
      </c>
      <c r="T692" s="11"/>
      <c r="U692" s="10" t="str">
        <f>HYPERLINK("https://pbs.twimg.com/profile_images/3768875380/cf5be7de31c482458de79b2d825d668c.jpeg","View")</f>
        <v>View</v>
      </c>
    </row>
    <row r="693" spans="1:21" ht="20.399999999999999">
      <c r="A693" s="6">
        <v>43426.392465277779</v>
      </c>
      <c r="B693" s="7" t="str">
        <f>HYPERLINK("https://twitter.com/Jacobo7elbobo","@Jacobo7elbobo")</f>
        <v>@Jacobo7elbobo</v>
      </c>
      <c r="C693" s="8" t="s">
        <v>1376</v>
      </c>
      <c r="D693" s="9" t="s">
        <v>2620</v>
      </c>
      <c r="E693" s="10" t="str">
        <f>HYPERLINK("https://twitter.com/Jacobo7elbobo/status/1065657449150066689","1065657449150066689")</f>
        <v>1065657449150066689</v>
      </c>
      <c r="F693" s="14" t="s">
        <v>2621</v>
      </c>
      <c r="G693" s="11"/>
      <c r="H693" s="11"/>
      <c r="I693" s="12">
        <v>7</v>
      </c>
      <c r="J693" s="12">
        <v>12</v>
      </c>
      <c r="K693" s="13" t="str">
        <f t="shared" ref="K693:K695" si="146">HYPERLINK("http://twitter.com","Twitter Web Client")</f>
        <v>Twitter Web Client</v>
      </c>
      <c r="L693" s="12">
        <v>5397</v>
      </c>
      <c r="M693" s="12">
        <v>5149</v>
      </c>
      <c r="N693" s="12">
        <v>6</v>
      </c>
      <c r="O693" s="15"/>
      <c r="P693" s="6">
        <v>42315.618460648147</v>
      </c>
      <c r="Q693" s="16" t="s">
        <v>1379</v>
      </c>
      <c r="R693" s="17" t="s">
        <v>1380</v>
      </c>
      <c r="S693" s="11"/>
      <c r="T693" s="11"/>
      <c r="U693" s="10" t="str">
        <f>HYPERLINK("https://pbs.twimg.com/profile_images/972809079289675776/alLBdem6.jpg","View")</f>
        <v>View</v>
      </c>
    </row>
    <row r="694" spans="1:21" ht="40.799999999999997">
      <c r="A694" s="6">
        <v>43426.390219907407</v>
      </c>
      <c r="B694" s="7" t="str">
        <f>HYPERLINK("https://twitter.com/migupelo2","@migupelo2")</f>
        <v>@migupelo2</v>
      </c>
      <c r="C694" s="8" t="s">
        <v>354</v>
      </c>
      <c r="D694" s="9" t="s">
        <v>1677</v>
      </c>
      <c r="E694" s="10" t="str">
        <f>HYPERLINK("https://twitter.com/migupelo2/status/1065656635379593218","1065656635379593218")</f>
        <v>1065656635379593218</v>
      </c>
      <c r="F694" s="14" t="s">
        <v>1678</v>
      </c>
      <c r="G694" s="11"/>
      <c r="H694" s="11"/>
      <c r="I694" s="12">
        <v>0</v>
      </c>
      <c r="J694" s="12">
        <v>1</v>
      </c>
      <c r="K694" s="13" t="str">
        <f t="shared" si="146"/>
        <v>Twitter Web Client</v>
      </c>
      <c r="L694" s="12">
        <v>264</v>
      </c>
      <c r="M694" s="12">
        <v>760</v>
      </c>
      <c r="N694" s="12">
        <v>18</v>
      </c>
      <c r="O694" s="15"/>
      <c r="P694" s="6">
        <v>40477.493043981478</v>
      </c>
      <c r="Q694" s="11"/>
      <c r="R694" s="17" t="s">
        <v>357</v>
      </c>
      <c r="S694" s="11"/>
      <c r="T694" s="11"/>
      <c r="U694" s="10" t="str">
        <f>HYPERLINK("https://pbs.twimg.com/profile_images/2906316440/4ed1570f50fd6f70f1b28d458997dd81.jpeg","View")</f>
        <v>View</v>
      </c>
    </row>
    <row r="695" spans="1:21" ht="30.6">
      <c r="A695" s="6">
        <v>43426.389525462961</v>
      </c>
      <c r="B695" s="7" t="str">
        <f>HYPERLINK("https://twitter.com/SALE550","@SALE550")</f>
        <v>@SALE550</v>
      </c>
      <c r="C695" s="8" t="s">
        <v>4406</v>
      </c>
      <c r="D695" s="9" t="s">
        <v>1573</v>
      </c>
      <c r="E695" s="10" t="str">
        <f>HYPERLINK("https://twitter.com/SALE550/status/1065656384312750083","1065656384312750083")</f>
        <v>1065656384312750083</v>
      </c>
      <c r="F695" s="14" t="s">
        <v>1219</v>
      </c>
      <c r="G695" s="11"/>
      <c r="H695" s="11"/>
      <c r="I695" s="12">
        <v>0</v>
      </c>
      <c r="J695" s="12">
        <v>0</v>
      </c>
      <c r="K695" s="13" t="str">
        <f t="shared" si="146"/>
        <v>Twitter Web Client</v>
      </c>
      <c r="L695" s="12">
        <v>88</v>
      </c>
      <c r="M695" s="12">
        <v>483</v>
      </c>
      <c r="N695" s="12">
        <v>3</v>
      </c>
      <c r="O695" s="15"/>
      <c r="P695" s="6">
        <v>40500.955335648148</v>
      </c>
      <c r="Q695" s="16" t="s">
        <v>4410</v>
      </c>
      <c r="R695" s="17" t="s">
        <v>4411</v>
      </c>
      <c r="S695" s="11"/>
      <c r="T695" s="11"/>
      <c r="U695" s="10" t="str">
        <f>HYPERLINK("https://pbs.twimg.com/profile_images/2292818647/678cuyarak43yyoyr9vu.jpeg","View")</f>
        <v>View</v>
      </c>
    </row>
    <row r="696" spans="1:21" ht="51">
      <c r="A696" s="6">
        <v>43426.389398148152</v>
      </c>
      <c r="B696" s="7" t="str">
        <f>HYPERLINK("https://twitter.com/PBMarbeMalaga","@PBMarbeMalaga")</f>
        <v>@PBMarbeMalaga</v>
      </c>
      <c r="C696" s="8" t="s">
        <v>3898</v>
      </c>
      <c r="D696" s="9" t="s">
        <v>4413</v>
      </c>
      <c r="E696" s="10" t="str">
        <f>HYPERLINK("https://twitter.com/PBMarbeMalaga/status/1065656335633711105","1065656335633711105")</f>
        <v>1065656335633711105</v>
      </c>
      <c r="F696" s="11"/>
      <c r="G696" s="11"/>
      <c r="H696" s="11"/>
      <c r="I696" s="12">
        <v>0</v>
      </c>
      <c r="J696" s="12">
        <v>0</v>
      </c>
      <c r="K696" s="13" t="str">
        <f>HYPERLINK("https://javitang.ddns.net","PBMarbeMalaga")</f>
        <v>PBMarbeMalaga</v>
      </c>
      <c r="L696" s="12">
        <v>1222</v>
      </c>
      <c r="M696" s="12">
        <v>1245</v>
      </c>
      <c r="N696" s="12">
        <v>2</v>
      </c>
      <c r="O696" s="15"/>
      <c r="P696" s="6">
        <v>43149.439074074078</v>
      </c>
      <c r="Q696" s="16" t="s">
        <v>3899</v>
      </c>
      <c r="R696" s="17" t="s">
        <v>3900</v>
      </c>
      <c r="S696" s="11"/>
      <c r="T696" s="11"/>
      <c r="U696" s="10" t="str">
        <f>HYPERLINK("https://pbs.twimg.com/profile_images/965296691145531392/sAFnfUu2.jpg","View")</f>
        <v>View</v>
      </c>
    </row>
    <row r="697" spans="1:21" ht="40.799999999999997">
      <c r="A697" s="6">
        <v>43426.388414351852</v>
      </c>
      <c r="B697" s="7" t="str">
        <f>HYPERLINK("https://twitter.com/JM_biotech","@JM_biotech")</f>
        <v>@JM_biotech</v>
      </c>
      <c r="C697" s="8" t="s">
        <v>4417</v>
      </c>
      <c r="D697" s="9" t="s">
        <v>768</v>
      </c>
      <c r="E697" s="10" t="str">
        <f>HYPERLINK("https://twitter.com/JM_biotech/status/1065655982599081984","1065655982599081984")</f>
        <v>1065655982599081984</v>
      </c>
      <c r="F697" s="14" t="s">
        <v>529</v>
      </c>
      <c r="G697" s="11"/>
      <c r="H697" s="11"/>
      <c r="I697" s="12">
        <v>0</v>
      </c>
      <c r="J697" s="12">
        <v>0</v>
      </c>
      <c r="K697" s="13" t="str">
        <f t="shared" ref="K697:K700" si="147">HYPERLINK("http://twitter.com","Twitter Web Client")</f>
        <v>Twitter Web Client</v>
      </c>
      <c r="L697" s="12">
        <v>987</v>
      </c>
      <c r="M697" s="12">
        <v>1745</v>
      </c>
      <c r="N697" s="12">
        <v>35</v>
      </c>
      <c r="O697" s="15"/>
      <c r="P697" s="6">
        <v>40611.443749999999</v>
      </c>
      <c r="Q697" s="16" t="s">
        <v>4419</v>
      </c>
      <c r="R697" s="17" t="s">
        <v>4420</v>
      </c>
      <c r="S697" s="11"/>
      <c r="T697" s="11"/>
      <c r="U697" s="10" t="str">
        <f>HYPERLINK("https://pbs.twimg.com/profile_images/555310417619083265/k_6_p-St.jpeg","View")</f>
        <v>View</v>
      </c>
    </row>
    <row r="698" spans="1:21" ht="30.6">
      <c r="A698" s="6">
        <v>43426.387673611112</v>
      </c>
      <c r="B698" s="7" t="str">
        <f>HYPERLINK("https://twitter.com/AlfredoComesana","@AlfredoComesana")</f>
        <v>@AlfredoComesana</v>
      </c>
      <c r="C698" s="8" t="s">
        <v>4422</v>
      </c>
      <c r="D698" s="9" t="s">
        <v>4423</v>
      </c>
      <c r="E698" s="10" t="str">
        <f>HYPERLINK("https://twitter.com/AlfredoComesana/status/1065655714704748544","1065655714704748544")</f>
        <v>1065655714704748544</v>
      </c>
      <c r="F698" s="14" t="s">
        <v>529</v>
      </c>
      <c r="G698" s="11"/>
      <c r="H698" s="11"/>
      <c r="I698" s="12">
        <v>0</v>
      </c>
      <c r="J698" s="12">
        <v>1</v>
      </c>
      <c r="K698" s="13" t="str">
        <f t="shared" si="147"/>
        <v>Twitter Web Client</v>
      </c>
      <c r="L698" s="12">
        <v>51</v>
      </c>
      <c r="M698" s="12">
        <v>462</v>
      </c>
      <c r="N698" s="12">
        <v>0</v>
      </c>
      <c r="O698" s="15"/>
      <c r="P698" s="6">
        <v>43311.390972222223</v>
      </c>
      <c r="Q698" s="16" t="s">
        <v>4425</v>
      </c>
      <c r="R698" s="19"/>
      <c r="S698" s="11"/>
      <c r="T698" s="11"/>
      <c r="U698" s="10" t="str">
        <f>HYPERLINK("https://pbs.twimg.com/profile_images/1025340732394139649/6Ilc-vLN.jpg","View")</f>
        <v>View</v>
      </c>
    </row>
    <row r="699" spans="1:21" ht="30.6">
      <c r="A699" s="6">
        <v>43426.386400462958</v>
      </c>
      <c r="B699" s="7" t="str">
        <f>HYPERLINK("https://twitter.com/smolny7","@smolny7")</f>
        <v>@smolny7</v>
      </c>
      <c r="C699" s="8" t="s">
        <v>4428</v>
      </c>
      <c r="D699" s="9" t="s">
        <v>4429</v>
      </c>
      <c r="E699" s="10" t="str">
        <f>HYPERLINK("https://twitter.com/smolny7/status/1065655249740988416","1065655249740988416")</f>
        <v>1065655249740988416</v>
      </c>
      <c r="F699" s="11"/>
      <c r="G699" s="14" t="s">
        <v>4431</v>
      </c>
      <c r="H699" s="11"/>
      <c r="I699" s="12">
        <v>50</v>
      </c>
      <c r="J699" s="12">
        <v>58</v>
      </c>
      <c r="K699" s="13" t="str">
        <f t="shared" si="147"/>
        <v>Twitter Web Client</v>
      </c>
      <c r="L699" s="12">
        <v>2252</v>
      </c>
      <c r="M699" s="12">
        <v>1</v>
      </c>
      <c r="N699" s="12">
        <v>13</v>
      </c>
      <c r="O699" s="15"/>
      <c r="P699" s="6">
        <v>43076.347696759258</v>
      </c>
      <c r="Q699" s="11"/>
      <c r="R699" s="19"/>
      <c r="S699" s="14" t="s">
        <v>4433</v>
      </c>
      <c r="T699" s="11"/>
      <c r="U699" s="10" t="str">
        <f>HYPERLINK("https://pbs.twimg.com/profile_images/938810184406786048/wY7IxyxY.jpg","View")</f>
        <v>View</v>
      </c>
    </row>
    <row r="700" spans="1:21" ht="51">
      <c r="A700" s="6">
        <v>43426.38553240741</v>
      </c>
      <c r="B700" s="7" t="str">
        <f>HYPERLINK("https://twitter.com/Veromaggi","@Veromaggi")</f>
        <v>@Veromaggi</v>
      </c>
      <c r="C700" s="8" t="s">
        <v>1679</v>
      </c>
      <c r="D700" s="9" t="s">
        <v>1680</v>
      </c>
      <c r="E700" s="10" t="str">
        <f>HYPERLINK("https://twitter.com/Veromaggi/status/1065654938385166336","1065654938385166336")</f>
        <v>1065654938385166336</v>
      </c>
      <c r="F700" s="14" t="s">
        <v>1681</v>
      </c>
      <c r="G700" s="14" t="s">
        <v>1682</v>
      </c>
      <c r="H700" s="11"/>
      <c r="I700" s="12">
        <v>1</v>
      </c>
      <c r="J700" s="12">
        <v>1</v>
      </c>
      <c r="K700" s="13" t="str">
        <f t="shared" si="147"/>
        <v>Twitter Web Client</v>
      </c>
      <c r="L700" s="12">
        <v>1998</v>
      </c>
      <c r="M700" s="12">
        <v>2562</v>
      </c>
      <c r="N700" s="12">
        <v>107</v>
      </c>
      <c r="O700" s="15"/>
      <c r="P700" s="6">
        <v>40616.122569444444</v>
      </c>
      <c r="Q700" s="16" t="s">
        <v>93</v>
      </c>
      <c r="R700" s="17" t="s">
        <v>1683</v>
      </c>
      <c r="S700" s="11"/>
      <c r="T700" s="11"/>
      <c r="U700" s="10" t="str">
        <f>HYPERLINK("https://pbs.twimg.com/profile_images/661142280036876288/x8ty3jnD.jpg","View")</f>
        <v>View</v>
      </c>
    </row>
    <row r="701" spans="1:21" ht="20.399999999999999">
      <c r="A701" s="6">
        <v>43426.384826388894</v>
      </c>
      <c r="B701" s="7" t="str">
        <f>HYPERLINK("https://twitter.com/Jorosa47","@Jorosa47")</f>
        <v>@Jorosa47</v>
      </c>
      <c r="C701" s="8" t="s">
        <v>4438</v>
      </c>
      <c r="D701" s="9" t="s">
        <v>2620</v>
      </c>
      <c r="E701" s="10" t="str">
        <f>HYPERLINK("https://twitter.com/Jorosa47/status/1065654678896156673","1065654678896156673")</f>
        <v>1065654678896156673</v>
      </c>
      <c r="F701" s="14" t="s">
        <v>2621</v>
      </c>
      <c r="G701" s="11"/>
      <c r="H701" s="11"/>
      <c r="I701" s="12">
        <v>0</v>
      </c>
      <c r="J701" s="12">
        <v>0</v>
      </c>
      <c r="K701" s="13" t="str">
        <f t="shared" ref="K701:K704" si="148">HYPERLINK("http://twitter.com/download/android","Twitter for Android")</f>
        <v>Twitter for Android</v>
      </c>
      <c r="L701" s="12">
        <v>664</v>
      </c>
      <c r="M701" s="12">
        <v>663</v>
      </c>
      <c r="N701" s="12">
        <v>3</v>
      </c>
      <c r="O701" s="15"/>
      <c r="P701" s="6">
        <v>42433.116261574076</v>
      </c>
      <c r="Q701" s="11"/>
      <c r="R701" s="17" t="s">
        <v>4442</v>
      </c>
      <c r="S701" s="11"/>
      <c r="T701" s="11"/>
      <c r="U701" s="10" t="str">
        <f>HYPERLINK("https://pbs.twimg.com/profile_images/982553609811439616/3TISSh9b.jpg","View")</f>
        <v>View</v>
      </c>
    </row>
    <row r="702" spans="1:21" ht="51">
      <c r="A702" s="6">
        <v>43426.384733796294</v>
      </c>
      <c r="B702" s="7" t="str">
        <f>HYPERLINK("https://twitter.com/AnonEspanol","@AnonEspanol")</f>
        <v>@AnonEspanol</v>
      </c>
      <c r="C702" s="8" t="s">
        <v>1684</v>
      </c>
      <c r="D702" s="9" t="s">
        <v>1685</v>
      </c>
      <c r="E702" s="10" t="str">
        <f>HYPERLINK("https://twitter.com/AnonEspanol/status/1065654646339977216","1065654646339977216")</f>
        <v>1065654646339977216</v>
      </c>
      <c r="F702" s="11"/>
      <c r="G702" s="14" t="s">
        <v>1686</v>
      </c>
      <c r="H702" s="11"/>
      <c r="I702" s="12">
        <v>2</v>
      </c>
      <c r="J702" s="12">
        <v>1</v>
      </c>
      <c r="K702" s="13" t="str">
        <f t="shared" si="148"/>
        <v>Twitter for Android</v>
      </c>
      <c r="L702" s="12">
        <v>1318</v>
      </c>
      <c r="M702" s="12">
        <v>519</v>
      </c>
      <c r="N702" s="12">
        <v>29</v>
      </c>
      <c r="O702" s="15"/>
      <c r="P702" s="6">
        <v>41511.377928240741</v>
      </c>
      <c r="Q702" s="11"/>
      <c r="R702" s="17" t="s">
        <v>1687</v>
      </c>
      <c r="S702" s="14" t="s">
        <v>1688</v>
      </c>
      <c r="T702" s="11"/>
      <c r="U702" s="10" t="str">
        <f>HYPERLINK("https://pbs.twimg.com/profile_images/524148426267561985/BeFiCxH0.png","View")</f>
        <v>View</v>
      </c>
    </row>
    <row r="703" spans="1:21" ht="51">
      <c r="A703" s="6">
        <v>43426.383761574078</v>
      </c>
      <c r="B703" s="7" t="str">
        <f>HYPERLINK("https://twitter.com/CabreraMaby","@CabreraMaby")</f>
        <v>@CabreraMaby</v>
      </c>
      <c r="C703" s="8" t="s">
        <v>1691</v>
      </c>
      <c r="D703" s="9" t="s">
        <v>1692</v>
      </c>
      <c r="E703" s="10" t="str">
        <f>HYPERLINK("https://twitter.com/CabreraMaby/status/1065654293137694724","1065654293137694724")</f>
        <v>1065654293137694724</v>
      </c>
      <c r="F703" s="16" t="s">
        <v>1693</v>
      </c>
      <c r="G703" s="11"/>
      <c r="H703" s="11"/>
      <c r="I703" s="12">
        <v>10</v>
      </c>
      <c r="J703" s="12">
        <v>4</v>
      </c>
      <c r="K703" s="13" t="str">
        <f t="shared" si="148"/>
        <v>Twitter for Android</v>
      </c>
      <c r="L703" s="12">
        <v>2749</v>
      </c>
      <c r="M703" s="12">
        <v>2600</v>
      </c>
      <c r="N703" s="12">
        <v>35</v>
      </c>
      <c r="O703" s="15"/>
      <c r="P703" s="6">
        <v>41804.598240740743</v>
      </c>
      <c r="Q703" s="11"/>
      <c r="R703" s="17" t="s">
        <v>1694</v>
      </c>
      <c r="S703" s="11"/>
      <c r="T703" s="11"/>
      <c r="U703" s="10" t="str">
        <f>HYPERLINK("https://pbs.twimg.com/profile_images/1053015456582443009/64i7gd9q.jpg","View")</f>
        <v>View</v>
      </c>
    </row>
    <row r="704" spans="1:21" ht="61.2">
      <c r="A704" s="6">
        <v>43426.383634259255</v>
      </c>
      <c r="B704" s="7" t="str">
        <f>HYPERLINK("https://twitter.com/alexcolchero","@alexcolchero")</f>
        <v>@alexcolchero</v>
      </c>
      <c r="C704" s="8" t="s">
        <v>1698</v>
      </c>
      <c r="D704" s="9" t="s">
        <v>1699</v>
      </c>
      <c r="E704" s="10" t="str">
        <f>HYPERLINK("https://twitter.com/alexcolchero/status/1065654250309656577","1065654250309656577")</f>
        <v>1065654250309656577</v>
      </c>
      <c r="F704" s="11"/>
      <c r="G704" s="14" t="s">
        <v>1700</v>
      </c>
      <c r="H704" s="11"/>
      <c r="I704" s="12">
        <v>4</v>
      </c>
      <c r="J704" s="12">
        <v>3</v>
      </c>
      <c r="K704" s="13" t="str">
        <f t="shared" si="148"/>
        <v>Twitter for Android</v>
      </c>
      <c r="L704" s="12">
        <v>240</v>
      </c>
      <c r="M704" s="12">
        <v>670</v>
      </c>
      <c r="N704" s="12">
        <v>5</v>
      </c>
      <c r="O704" s="15"/>
      <c r="P704" s="6">
        <v>40524.15662037037</v>
      </c>
      <c r="Q704" s="16" t="s">
        <v>407</v>
      </c>
      <c r="R704" s="17" t="s">
        <v>1703</v>
      </c>
      <c r="S704" s="11"/>
      <c r="T704" s="11"/>
      <c r="U704" s="10" t="str">
        <f>HYPERLINK("https://pbs.twimg.com/profile_images/689762501311930368/T5Bb2wib.jpg","View")</f>
        <v>View</v>
      </c>
    </row>
    <row r="705" spans="1:21" ht="40.799999999999997">
      <c r="A705" s="6">
        <v>43426.381400462968</v>
      </c>
      <c r="B705" s="7" t="str">
        <f>HYPERLINK("https://twitter.com/JuanASotoG","@JuanASotoG")</f>
        <v>@JuanASotoG</v>
      </c>
      <c r="C705" s="8" t="s">
        <v>4459</v>
      </c>
      <c r="D705" s="9" t="s">
        <v>4461</v>
      </c>
      <c r="E705" s="10" t="str">
        <f>HYPERLINK("https://twitter.com/JuanASotoG/status/1065653438690807809","1065653438690807809")</f>
        <v>1065653438690807809</v>
      </c>
      <c r="F705" s="14" t="s">
        <v>529</v>
      </c>
      <c r="G705" s="11"/>
      <c r="H705" s="11"/>
      <c r="I705" s="12">
        <v>1</v>
      </c>
      <c r="J705" s="12">
        <v>0</v>
      </c>
      <c r="K705" s="13" t="str">
        <f t="shared" ref="K705:K708" si="149">HYPERLINK("http://twitter.com","Twitter Web Client")</f>
        <v>Twitter Web Client</v>
      </c>
      <c r="L705" s="12">
        <v>87</v>
      </c>
      <c r="M705" s="12">
        <v>300</v>
      </c>
      <c r="N705" s="12">
        <v>1</v>
      </c>
      <c r="O705" s="15"/>
      <c r="P705" s="6">
        <v>42654.104374999995</v>
      </c>
      <c r="Q705" s="16" t="s">
        <v>87</v>
      </c>
      <c r="R705" s="17" t="s">
        <v>4463</v>
      </c>
      <c r="S705" s="14" t="s">
        <v>4464</v>
      </c>
      <c r="T705" s="11"/>
      <c r="U705" s="10" t="str">
        <f>HYPERLINK("https://pbs.twimg.com/profile_images/931487793922134016/UHLMYMQf.jpg","View")</f>
        <v>View</v>
      </c>
    </row>
    <row r="706" spans="1:21" ht="40.799999999999997">
      <c r="A706" s="6">
        <v>43426.380856481483</v>
      </c>
      <c r="B706" s="7" t="str">
        <f>HYPERLINK("https://twitter.com/QuieroVotarYa","@QuieroVotarYa")</f>
        <v>@QuieroVotarYa</v>
      </c>
      <c r="C706" s="27" t="s">
        <v>4467</v>
      </c>
      <c r="D706" s="9" t="s">
        <v>2620</v>
      </c>
      <c r="E706" s="10" t="str">
        <f>HYPERLINK("https://twitter.com/QuieroVotarYa/status/1065653243144011782","1065653243144011782")</f>
        <v>1065653243144011782</v>
      </c>
      <c r="F706" s="14" t="s">
        <v>2621</v>
      </c>
      <c r="G706" s="11"/>
      <c r="H706" s="11"/>
      <c r="I706" s="12">
        <v>8</v>
      </c>
      <c r="J706" s="12">
        <v>13</v>
      </c>
      <c r="K706" s="13" t="str">
        <f t="shared" si="149"/>
        <v>Twitter Web Client</v>
      </c>
      <c r="L706" s="12">
        <v>6201</v>
      </c>
      <c r="M706" s="12">
        <v>5421</v>
      </c>
      <c r="N706" s="12">
        <v>44</v>
      </c>
      <c r="O706" s="15"/>
      <c r="P706" s="6">
        <v>41000.097858796296</v>
      </c>
      <c r="Q706" s="16" t="s">
        <v>4471</v>
      </c>
      <c r="R706" s="17" t="s">
        <v>4472</v>
      </c>
      <c r="S706" s="11"/>
      <c r="T706" s="11"/>
      <c r="U706" s="10" t="str">
        <f>HYPERLINK("https://pbs.twimg.com/profile_images/1051197735364386820/cdqg73wT.jpg","View")</f>
        <v>View</v>
      </c>
    </row>
    <row r="707" spans="1:21" ht="51">
      <c r="A707" s="6">
        <v>43426.380115740743</v>
      </c>
      <c r="B707" s="7" t="str">
        <f>HYPERLINK("https://twitter.com/WiseColours","@WiseColours")</f>
        <v>@WiseColours</v>
      </c>
      <c r="C707" s="8" t="s">
        <v>1704</v>
      </c>
      <c r="D707" s="9" t="s">
        <v>1705</v>
      </c>
      <c r="E707" s="10" t="str">
        <f>HYPERLINK("https://twitter.com/WiseColours/status/1065652973538353153","1065652973538353153")</f>
        <v>1065652973538353153</v>
      </c>
      <c r="F707" s="14" t="s">
        <v>1469</v>
      </c>
      <c r="G707" s="14" t="s">
        <v>1470</v>
      </c>
      <c r="H707" s="11"/>
      <c r="I707" s="12">
        <v>0</v>
      </c>
      <c r="J707" s="12">
        <v>0</v>
      </c>
      <c r="K707" s="13" t="str">
        <f t="shared" si="149"/>
        <v>Twitter Web Client</v>
      </c>
      <c r="L707" s="12">
        <v>67</v>
      </c>
      <c r="M707" s="12">
        <v>305</v>
      </c>
      <c r="N707" s="12">
        <v>0</v>
      </c>
      <c r="O707" s="15"/>
      <c r="P707" s="6">
        <v>43370.198437500003</v>
      </c>
      <c r="Q707" s="16" t="s">
        <v>28</v>
      </c>
      <c r="R707" s="17" t="s">
        <v>1708</v>
      </c>
      <c r="S707" s="11"/>
      <c r="T707" s="11"/>
      <c r="U707" s="10" t="str">
        <f>HYPERLINK("https://pbs.twimg.com/profile_images/1045283749024477184/fKkVo-0h.jpg","View")</f>
        <v>View</v>
      </c>
    </row>
    <row r="708" spans="1:21" ht="51">
      <c r="A708" s="6">
        <v>43426.378460648149</v>
      </c>
      <c r="B708" s="7" t="str">
        <f>HYPERLINK("https://twitter.com/Pablo_Iglesias_","@Pablo_Iglesias_")</f>
        <v>@Pablo_Iglesias_</v>
      </c>
      <c r="C708" s="8" t="s">
        <v>383</v>
      </c>
      <c r="D708" s="9" t="s">
        <v>4479</v>
      </c>
      <c r="E708" s="10" t="str">
        <f>HYPERLINK("https://twitter.com/Pablo_Iglesias_/status/1065652376126803969","1065652376126803969")</f>
        <v>1065652376126803969</v>
      </c>
      <c r="F708" s="11"/>
      <c r="G708" s="14" t="s">
        <v>965</v>
      </c>
      <c r="H708" s="11"/>
      <c r="I708" s="12">
        <v>522</v>
      </c>
      <c r="J708" s="12">
        <v>752</v>
      </c>
      <c r="K708" s="13" t="str">
        <f t="shared" si="149"/>
        <v>Twitter Web Client</v>
      </c>
      <c r="L708" s="12">
        <v>2240182</v>
      </c>
      <c r="M708" s="12">
        <v>2735</v>
      </c>
      <c r="N708" s="12">
        <v>8469</v>
      </c>
      <c r="O708" s="18" t="s">
        <v>52</v>
      </c>
      <c r="P708" s="6">
        <v>40351.200300925928</v>
      </c>
      <c r="Q708" s="16" t="s">
        <v>38</v>
      </c>
      <c r="R708" s="17" t="s">
        <v>389</v>
      </c>
      <c r="S708" s="14" t="s">
        <v>58</v>
      </c>
      <c r="T708" s="11"/>
      <c r="U708" s="10" t="str">
        <f>HYPERLINK("https://pbs.twimg.com/profile_images/902223370569338884/dL2D2A5P.jpg","View")</f>
        <v>View</v>
      </c>
    </row>
    <row r="709" spans="1:21" ht="51">
      <c r="A709" s="6">
        <v>43426.376388888893</v>
      </c>
      <c r="B709" s="7" t="str">
        <f>HYPERLINK("https://twitter.com/bitMomentum","@bitMomentum")</f>
        <v>@bitMomentum</v>
      </c>
      <c r="C709" s="8" t="s">
        <v>1033</v>
      </c>
      <c r="D709" s="9" t="s">
        <v>1710</v>
      </c>
      <c r="E709" s="10" t="str">
        <f>HYPERLINK("https://twitter.com/bitMomentum/status/1065651621978353670","1065651621978353670")</f>
        <v>1065651621978353670</v>
      </c>
      <c r="F709" s="11"/>
      <c r="G709" s="11"/>
      <c r="H709" s="11"/>
      <c r="I709" s="12">
        <v>0</v>
      </c>
      <c r="J709" s="12">
        <v>0</v>
      </c>
      <c r="K709" s="13" t="str">
        <f>HYPERLINK("http://www.bitmomentum.com","bitMomentum Bot")</f>
        <v>bitMomentum Bot</v>
      </c>
      <c r="L709" s="12">
        <v>10132</v>
      </c>
      <c r="M709" s="12">
        <v>1060</v>
      </c>
      <c r="N709" s="12">
        <v>267</v>
      </c>
      <c r="O709" s="15"/>
      <c r="P709" s="6">
        <v>41608.292511574073</v>
      </c>
      <c r="Q709" s="11"/>
      <c r="R709" s="17" t="s">
        <v>1038</v>
      </c>
      <c r="S709" s="14" t="s">
        <v>1039</v>
      </c>
      <c r="T709" s="11"/>
      <c r="U709" s="10" t="str">
        <f>HYPERLINK("https://pbs.twimg.com/profile_images/378800000862185241/20ij2H3u.png","View")</f>
        <v>View</v>
      </c>
    </row>
    <row r="710" spans="1:21" ht="40.799999999999997">
      <c r="A710" s="6">
        <v>43426.376226851848</v>
      </c>
      <c r="B710" s="7" t="str">
        <f>HYPERLINK("https://twitter.com/EsteveJr","@EsteveJr")</f>
        <v>@EsteveJr</v>
      </c>
      <c r="C710" s="8" t="s">
        <v>1714</v>
      </c>
      <c r="D710" s="9" t="s">
        <v>1715</v>
      </c>
      <c r="E710" s="10" t="str">
        <f>HYPERLINK("https://twitter.com/EsteveJr/status/1065651563996332033","1065651563996332033")</f>
        <v>1065651563996332033</v>
      </c>
      <c r="F710" s="11"/>
      <c r="G710" s="14" t="s">
        <v>1718</v>
      </c>
      <c r="H710" s="11"/>
      <c r="I710" s="12">
        <v>0</v>
      </c>
      <c r="J710" s="12">
        <v>0</v>
      </c>
      <c r="K710" s="13" t="str">
        <f>HYPERLINK("http://twitter.com/download/iphone","Twitter for iPhone")</f>
        <v>Twitter for iPhone</v>
      </c>
      <c r="L710" s="12">
        <v>223</v>
      </c>
      <c r="M710" s="12">
        <v>700</v>
      </c>
      <c r="N710" s="12">
        <v>1</v>
      </c>
      <c r="O710" s="15"/>
      <c r="P710" s="6">
        <v>41097.283993055556</v>
      </c>
      <c r="Q710" s="16" t="s">
        <v>1721</v>
      </c>
      <c r="R710" s="19"/>
      <c r="S710" s="11"/>
      <c r="T710" s="11"/>
      <c r="U710" s="10" t="str">
        <f>HYPERLINK("https://pbs.twimg.com/profile_images/1013880739203637248/MKIxyyjg.jpg","View")</f>
        <v>View</v>
      </c>
    </row>
    <row r="711" spans="1:21" ht="40.799999999999997">
      <c r="A711" s="6">
        <v>43426.376145833332</v>
      </c>
      <c r="B711" s="7" t="str">
        <f>HYPERLINK("https://twitter.com/elperiodico","@elperiodico")</f>
        <v>@elperiodico</v>
      </c>
      <c r="C711" s="8" t="s">
        <v>4493</v>
      </c>
      <c r="D711" s="9" t="s">
        <v>4495</v>
      </c>
      <c r="E711" s="10" t="str">
        <f>HYPERLINK("https://twitter.com/elperiodico/status/1065651534489427969","1065651534489427969")</f>
        <v>1065651534489427969</v>
      </c>
      <c r="F711" s="14" t="s">
        <v>4497</v>
      </c>
      <c r="G711" s="14" t="s">
        <v>4498</v>
      </c>
      <c r="H711" s="11"/>
      <c r="I711" s="12">
        <v>7</v>
      </c>
      <c r="J711" s="12">
        <v>17</v>
      </c>
      <c r="K711" s="13" t="str">
        <f>HYPERLINK("http://dogtrack.es","DogTrack_Oficial")</f>
        <v>DogTrack_Oficial</v>
      </c>
      <c r="L711" s="12">
        <v>596515</v>
      </c>
      <c r="M711" s="12">
        <v>18498</v>
      </c>
      <c r="N711" s="12">
        <v>6925</v>
      </c>
      <c r="O711" s="18" t="s">
        <v>52</v>
      </c>
      <c r="P711" s="6">
        <v>40456.164560185185</v>
      </c>
      <c r="Q711" s="16" t="s">
        <v>256</v>
      </c>
      <c r="R711" s="17" t="s">
        <v>4499</v>
      </c>
      <c r="S711" s="14" t="s">
        <v>4500</v>
      </c>
      <c r="T711" s="11"/>
      <c r="U711" s="10" t="str">
        <f>HYPERLINK("https://pbs.twimg.com/profile_images/876802324135653377/s4G6oS9o.jpg","View")</f>
        <v>View</v>
      </c>
    </row>
    <row r="712" spans="1:21" ht="40.799999999999997">
      <c r="A712" s="6">
        <v>43426.376064814816</v>
      </c>
      <c r="B712" s="7" t="str">
        <f>HYPERLINK("https://twitter.com/PCamorrista","@PCamorrista")</f>
        <v>@PCamorrista</v>
      </c>
      <c r="C712" s="8" t="s">
        <v>193</v>
      </c>
      <c r="D712" s="9" t="s">
        <v>4502</v>
      </c>
      <c r="E712" s="10" t="str">
        <f>HYPERLINK("https://twitter.com/PCamorrista/status/1065651506152648705","1065651506152648705")</f>
        <v>1065651506152648705</v>
      </c>
      <c r="F712" s="14" t="s">
        <v>2633</v>
      </c>
      <c r="G712" s="11"/>
      <c r="H712" s="11"/>
      <c r="I712" s="12">
        <v>21</v>
      </c>
      <c r="J712" s="12">
        <v>22</v>
      </c>
      <c r="K712" s="13" t="str">
        <f>HYPERLINK("http://twitter.com/download/iphone","Twitter for iPhone")</f>
        <v>Twitter for iPhone</v>
      </c>
      <c r="L712" s="12">
        <v>1956</v>
      </c>
      <c r="M712" s="12">
        <v>1977</v>
      </c>
      <c r="N712" s="12">
        <v>10</v>
      </c>
      <c r="O712" s="15"/>
      <c r="P712" s="6">
        <v>43114.009884259256</v>
      </c>
      <c r="Q712" s="16" t="s">
        <v>28</v>
      </c>
      <c r="R712" s="17" t="s">
        <v>196</v>
      </c>
      <c r="S712" s="14" t="s">
        <v>197</v>
      </c>
      <c r="T712" s="11"/>
      <c r="U712" s="10" t="str">
        <f>HYPERLINK("https://pbs.twimg.com/profile_images/952459031083397120/u6DBThkF.jpg","View")</f>
        <v>View</v>
      </c>
    </row>
    <row r="713" spans="1:21" ht="102">
      <c r="A713" s="6">
        <v>43426.37122685185</v>
      </c>
      <c r="B713" s="7" t="str">
        <f>HYPERLINK("https://twitter.com/RIGARCA","@RIGARCA")</f>
        <v>@RIGARCA</v>
      </c>
      <c r="C713" s="8" t="s">
        <v>4506</v>
      </c>
      <c r="D713" s="9" t="s">
        <v>4507</v>
      </c>
      <c r="E713" s="10" t="str">
        <f>HYPERLINK("https://twitter.com/RIGARCA/status/1065649750559592448","1065649750559592448")</f>
        <v>1065649750559592448</v>
      </c>
      <c r="F713" s="16" t="s">
        <v>2377</v>
      </c>
      <c r="G713" s="11"/>
      <c r="H713" s="11"/>
      <c r="I713" s="12">
        <v>0</v>
      </c>
      <c r="J713" s="12">
        <v>0</v>
      </c>
      <c r="K713" s="13" t="str">
        <f>HYPERLINK("http://twitter.com/download/android","Twitter for Android")</f>
        <v>Twitter for Android</v>
      </c>
      <c r="L713" s="12">
        <v>145</v>
      </c>
      <c r="M713" s="12">
        <v>763</v>
      </c>
      <c r="N713" s="12">
        <v>1</v>
      </c>
      <c r="O713" s="15"/>
      <c r="P713" s="6">
        <v>40285.281840277778</v>
      </c>
      <c r="Q713" s="16" t="s">
        <v>620</v>
      </c>
      <c r="R713" s="17" t="s">
        <v>4509</v>
      </c>
      <c r="S713" s="11"/>
      <c r="T713" s="11"/>
      <c r="U713" s="10" t="str">
        <f>HYPERLINK("https://pbs.twimg.com/profile_images/686142562101510144/KgRVu5Ox.jpg","View")</f>
        <v>View</v>
      </c>
    </row>
    <row r="714" spans="1:21" ht="51">
      <c r="A714" s="6">
        <v>43426.370740740742</v>
      </c>
      <c r="B714" s="7" t="str">
        <f>HYPERLINK("https://twitter.com/Pedro_IU","@Pedro_IU")</f>
        <v>@Pedro_IU</v>
      </c>
      <c r="C714" s="8" t="s">
        <v>1723</v>
      </c>
      <c r="D714" s="9" t="s">
        <v>1724</v>
      </c>
      <c r="E714" s="10" t="str">
        <f>HYPERLINK("https://twitter.com/Pedro_IU/status/1065649576386985986","1065649576386985986")</f>
        <v>1065649576386985986</v>
      </c>
      <c r="F714" s="11"/>
      <c r="G714" s="14" t="s">
        <v>1725</v>
      </c>
      <c r="H714" s="11"/>
      <c r="I714" s="12">
        <v>11</v>
      </c>
      <c r="J714" s="12">
        <v>16</v>
      </c>
      <c r="K714" s="13" t="str">
        <f>HYPERLINK("http://twitter.com/download/iphone","Twitter for iPhone")</f>
        <v>Twitter for iPhone</v>
      </c>
      <c r="L714" s="12">
        <v>5654</v>
      </c>
      <c r="M714" s="12">
        <v>3661</v>
      </c>
      <c r="N714" s="12">
        <v>91</v>
      </c>
      <c r="O714" s="15"/>
      <c r="P714" s="6">
        <v>40780.404050925928</v>
      </c>
      <c r="Q714" s="11"/>
      <c r="R714" s="17" t="s">
        <v>1726</v>
      </c>
      <c r="S714" s="11"/>
      <c r="T714" s="11"/>
      <c r="U714" s="10" t="str">
        <f>HYPERLINK("https://pbs.twimg.com/profile_images/963573742789152768/gb4m_MR2.jpg","View")</f>
        <v>View</v>
      </c>
    </row>
    <row r="715" spans="1:21" ht="51">
      <c r="A715" s="6">
        <v>43426.368009259255</v>
      </c>
      <c r="B715" s="7" t="str">
        <f>HYPERLINK("https://twitter.com/kaotica_17","@kaotica_17")</f>
        <v>@kaotica_17</v>
      </c>
      <c r="C715" s="8" t="s">
        <v>1729</v>
      </c>
      <c r="D715" s="9" t="s">
        <v>1730</v>
      </c>
      <c r="E715" s="10" t="str">
        <f>HYPERLINK("https://twitter.com/kaotica_17/status/1065648586199838720","1065648586199838720")</f>
        <v>1065648586199838720</v>
      </c>
      <c r="F715" s="11"/>
      <c r="G715" s="14" t="s">
        <v>1734</v>
      </c>
      <c r="H715" s="11"/>
      <c r="I715" s="12">
        <v>0</v>
      </c>
      <c r="J715" s="12">
        <v>0</v>
      </c>
      <c r="K715" s="13" t="str">
        <f>HYPERLINK("http://twitter.com/download/android","Twitter for Android")</f>
        <v>Twitter for Android</v>
      </c>
      <c r="L715" s="12">
        <v>164</v>
      </c>
      <c r="M715" s="12">
        <v>256</v>
      </c>
      <c r="N715" s="12">
        <v>0</v>
      </c>
      <c r="O715" s="15"/>
      <c r="P715" s="6">
        <v>41057.181250000001</v>
      </c>
      <c r="Q715" s="16" t="s">
        <v>1735</v>
      </c>
      <c r="R715" s="17" t="s">
        <v>1736</v>
      </c>
      <c r="S715" s="14" t="s">
        <v>1737</v>
      </c>
      <c r="T715" s="11"/>
      <c r="U715" s="10" t="str">
        <f>HYPERLINK("https://pbs.twimg.com/profile_images/488404999798816769/aXTY5957.jpeg","View")</f>
        <v>View</v>
      </c>
    </row>
    <row r="716" spans="1:21" ht="40.799999999999997">
      <c r="A716" s="6">
        <v>43426.365300925929</v>
      </c>
      <c r="B716" s="7" t="str">
        <f>HYPERLINK("https://twitter.com/felixdiez1","@felixdiez1")</f>
        <v>@felixdiez1</v>
      </c>
      <c r="C716" s="8" t="s">
        <v>4519</v>
      </c>
      <c r="D716" s="9" t="s">
        <v>4520</v>
      </c>
      <c r="E716" s="10" t="str">
        <f>HYPERLINK("https://twitter.com/felixdiez1/status/1065647604053217280","1065647604053217280")</f>
        <v>1065647604053217280</v>
      </c>
      <c r="F716" s="11"/>
      <c r="G716" s="11"/>
      <c r="H716" s="11"/>
      <c r="I716" s="12">
        <v>0</v>
      </c>
      <c r="J716" s="12">
        <v>0</v>
      </c>
      <c r="K716" s="13" t="str">
        <f>HYPERLINK("http://twitter.com/download/iphone","Twitter for iPhone")</f>
        <v>Twitter for iPhone</v>
      </c>
      <c r="L716" s="12">
        <v>23</v>
      </c>
      <c r="M716" s="12">
        <v>51</v>
      </c>
      <c r="N716" s="12">
        <v>0</v>
      </c>
      <c r="O716" s="15"/>
      <c r="P716" s="6">
        <v>41294.189409722225</v>
      </c>
      <c r="Q716" s="11"/>
      <c r="R716" s="19"/>
      <c r="S716" s="11"/>
      <c r="T716" s="11"/>
      <c r="U716" s="10" t="str">
        <f>HYPERLINK("https://pbs.twimg.com/profile_images/895365426489720832/PXgf6DL2.jpg","View")</f>
        <v>View</v>
      </c>
    </row>
    <row r="717" spans="1:21" ht="40.799999999999997">
      <c r="A717" s="6">
        <v>43426.362430555557</v>
      </c>
      <c r="B717" s="7" t="str">
        <f>HYPERLINK("https://twitter.com/viross222","@viross222")</f>
        <v>@viross222</v>
      </c>
      <c r="C717" s="8" t="s">
        <v>245</v>
      </c>
      <c r="D717" s="9" t="s">
        <v>4523</v>
      </c>
      <c r="E717" s="10" t="str">
        <f>HYPERLINK("https://twitter.com/viross222/status/1065646565522620421","1065646565522620421")</f>
        <v>1065646565522620421</v>
      </c>
      <c r="F717" s="14" t="s">
        <v>529</v>
      </c>
      <c r="G717" s="11"/>
      <c r="H717" s="11"/>
      <c r="I717" s="12">
        <v>0</v>
      </c>
      <c r="J717" s="12">
        <v>0</v>
      </c>
      <c r="K717" s="13" t="str">
        <f>HYPERLINK("http://twitter.com","Twitter Web Client")</f>
        <v>Twitter Web Client</v>
      </c>
      <c r="L717" s="12">
        <v>3532</v>
      </c>
      <c r="M717" s="12">
        <v>3118</v>
      </c>
      <c r="N717" s="12">
        <v>303</v>
      </c>
      <c r="O717" s="15"/>
      <c r="P717" s="6">
        <v>41220.542384259257</v>
      </c>
      <c r="Q717" s="16" t="s">
        <v>38</v>
      </c>
      <c r="R717" s="17" t="s">
        <v>249</v>
      </c>
      <c r="S717" s="14" t="s">
        <v>250</v>
      </c>
      <c r="T717" s="11"/>
      <c r="U717" s="10" t="str">
        <f>HYPERLINK("https://pbs.twimg.com/profile_images/1064627384442343431/hpdTFt53.jpg","View")</f>
        <v>View</v>
      </c>
    </row>
    <row r="718" spans="1:21" ht="91.8">
      <c r="A718" s="6">
        <v>43426.360636574071</v>
      </c>
      <c r="B718" s="7" t="str">
        <f>HYPERLINK("https://twitter.com/ismaelgarcia311","@ismaelgarcia311")</f>
        <v>@ismaelgarcia311</v>
      </c>
      <c r="C718" s="8" t="s">
        <v>1740</v>
      </c>
      <c r="D718" s="9" t="s">
        <v>1741</v>
      </c>
      <c r="E718" s="10" t="str">
        <f>HYPERLINK("https://twitter.com/ismaelgarcia311/status/1065645913773887488","1065645913773887488")</f>
        <v>1065645913773887488</v>
      </c>
      <c r="F718" s="16" t="s">
        <v>1742</v>
      </c>
      <c r="G718" s="14" t="s">
        <v>1431</v>
      </c>
      <c r="H718" s="11"/>
      <c r="I718" s="12">
        <v>13</v>
      </c>
      <c r="J718" s="12">
        <v>17</v>
      </c>
      <c r="K718" s="13" t="str">
        <f>HYPERLINK("http://twitter.com/download/android","Twitter for Android")</f>
        <v>Twitter for Android</v>
      </c>
      <c r="L718" s="12">
        <v>2565</v>
      </c>
      <c r="M718" s="12">
        <v>2654</v>
      </c>
      <c r="N718" s="12">
        <v>9</v>
      </c>
      <c r="O718" s="15"/>
      <c r="P718" s="6">
        <v>41922.185497685183</v>
      </c>
      <c r="Q718" s="11"/>
      <c r="R718" s="19"/>
      <c r="S718" s="11"/>
      <c r="T718" s="11"/>
      <c r="U718" s="10" t="str">
        <f>HYPERLINK("https://pbs.twimg.com/profile_images/588340213832929280/zg7siVYA.jpg","View")</f>
        <v>View</v>
      </c>
    </row>
    <row r="719" spans="1:21" ht="20.399999999999999">
      <c r="A719" s="6">
        <v>43426.36010416667</v>
      </c>
      <c r="B719" s="7" t="str">
        <f>HYPERLINK("https://twitter.com/carollm333","@carollm333")</f>
        <v>@carollm333</v>
      </c>
      <c r="C719" s="8" t="s">
        <v>2536</v>
      </c>
      <c r="D719" s="9" t="s">
        <v>768</v>
      </c>
      <c r="E719" s="10" t="str">
        <f>HYPERLINK("https://twitter.com/carollm333/status/1065645722647842816","1065645722647842816")</f>
        <v>1065645722647842816</v>
      </c>
      <c r="F719" s="14" t="s">
        <v>529</v>
      </c>
      <c r="G719" s="11"/>
      <c r="H719" s="11"/>
      <c r="I719" s="12">
        <v>0</v>
      </c>
      <c r="J719" s="12">
        <v>0</v>
      </c>
      <c r="K719" s="13" t="str">
        <f>HYPERLINK("http://twitter.com","Twitter Web Client")</f>
        <v>Twitter Web Client</v>
      </c>
      <c r="L719" s="12">
        <v>1214</v>
      </c>
      <c r="M719" s="12">
        <v>1038</v>
      </c>
      <c r="N719" s="12">
        <v>79</v>
      </c>
      <c r="O719" s="15"/>
      <c r="P719" s="6">
        <v>40577.436874999999</v>
      </c>
      <c r="Q719" s="11"/>
      <c r="R719" s="19"/>
      <c r="S719" s="11"/>
      <c r="T719" s="11"/>
      <c r="U719" s="10" t="str">
        <f>HYPERLINK("https://pbs.twimg.com/profile_images/1002860850015817729/9pVXZX1m.jpg","View")</f>
        <v>View</v>
      </c>
    </row>
    <row r="720" spans="1:21" ht="61.2">
      <c r="A720" s="6">
        <v>43426.358055555553</v>
      </c>
      <c r="B720" s="7" t="str">
        <f>HYPERLINK("https://twitter.com/tierra_los","@tierra_los")</f>
        <v>@tierra_los</v>
      </c>
      <c r="C720" s="8" t="s">
        <v>4532</v>
      </c>
      <c r="D720" s="9" t="s">
        <v>4533</v>
      </c>
      <c r="E720" s="10" t="str">
        <f>HYPERLINK("https://twitter.com/tierra_los/status/1065644980365078528","1065644980365078528")</f>
        <v>1065644980365078528</v>
      </c>
      <c r="F720" s="16" t="s">
        <v>4534</v>
      </c>
      <c r="G720" s="11"/>
      <c r="H720" s="11"/>
      <c r="I720" s="12">
        <v>0</v>
      </c>
      <c r="J720" s="12">
        <v>0</v>
      </c>
      <c r="K720" s="13" t="str">
        <f>HYPERLINK("http://twitter.com/download/android","Twitter for Android")</f>
        <v>Twitter for Android</v>
      </c>
      <c r="L720" s="12">
        <v>22</v>
      </c>
      <c r="M720" s="12">
        <v>87</v>
      </c>
      <c r="N720" s="12">
        <v>0</v>
      </c>
      <c r="O720" s="15"/>
      <c r="P720" s="6">
        <v>43250.231956018513</v>
      </c>
      <c r="Q720" s="11"/>
      <c r="R720" s="17" t="s">
        <v>4536</v>
      </c>
      <c r="S720" s="11"/>
      <c r="T720" s="11"/>
      <c r="U720" s="10" t="str">
        <f>HYPERLINK("https://pbs.twimg.com/profile_images/1007042885836042247/Vu_SsZtp.jpg","View")</f>
        <v>View</v>
      </c>
    </row>
    <row r="721" spans="1:21" ht="51">
      <c r="A721" s="6">
        <v>43426.357442129629</v>
      </c>
      <c r="B721" s="7" t="str">
        <f>HYPERLINK("https://twitter.com/PPineros_","@PPineros_")</f>
        <v>@PPineros_</v>
      </c>
      <c r="C721" s="8" t="s">
        <v>1745</v>
      </c>
      <c r="D721" s="9" t="s">
        <v>1746</v>
      </c>
      <c r="E721" s="10" t="str">
        <f>HYPERLINK("https://twitter.com/PPineros_/status/1065644759140708352","1065644759140708352")</f>
        <v>1065644759140708352</v>
      </c>
      <c r="F721" s="11"/>
      <c r="G721" s="11"/>
      <c r="H721" s="11"/>
      <c r="I721" s="12">
        <v>1</v>
      </c>
      <c r="J721" s="12">
        <v>2</v>
      </c>
      <c r="K721" s="13" t="str">
        <f>HYPERLINK("http://twitter.com","Twitter Web Client")</f>
        <v>Twitter Web Client</v>
      </c>
      <c r="L721" s="12">
        <v>2506</v>
      </c>
      <c r="M721" s="12">
        <v>2317</v>
      </c>
      <c r="N721" s="12">
        <v>76</v>
      </c>
      <c r="O721" s="15"/>
      <c r="P721" s="6">
        <v>41370.058541666665</v>
      </c>
      <c r="Q721" s="16" t="s">
        <v>1749</v>
      </c>
      <c r="R721" s="17" t="s">
        <v>1750</v>
      </c>
      <c r="S721" s="11"/>
      <c r="T721" s="11"/>
      <c r="U721" s="10" t="str">
        <f>HYPERLINK("https://pbs.twimg.com/profile_images/1021295538694688768/EsSY7i6E.jpg","View")</f>
        <v>View</v>
      </c>
    </row>
    <row r="722" spans="1:21" ht="40.799999999999997">
      <c r="A722" s="6">
        <v>43426.356273148151</v>
      </c>
      <c r="B722" s="7" t="str">
        <f>HYPERLINK("https://twitter.com/_23Sergio","@_23Sergio")</f>
        <v>@_23Sergio</v>
      </c>
      <c r="C722" s="8" t="s">
        <v>283</v>
      </c>
      <c r="D722" s="9" t="s">
        <v>4540</v>
      </c>
      <c r="E722" s="10" t="str">
        <f>HYPERLINK("https://twitter.com/_23Sergio/status/1065644332122890240","1065644332122890240")</f>
        <v>1065644332122890240</v>
      </c>
      <c r="F722" s="14" t="s">
        <v>96</v>
      </c>
      <c r="G722" s="11"/>
      <c r="H722" s="11"/>
      <c r="I722" s="12">
        <v>3</v>
      </c>
      <c r="J722" s="12">
        <v>6</v>
      </c>
      <c r="K722" s="13" t="str">
        <f t="shared" ref="K722:K723" si="150">HYPERLINK("http://twitter.com/download/android","Twitter for Android")</f>
        <v>Twitter for Android</v>
      </c>
      <c r="L722" s="12">
        <v>1051</v>
      </c>
      <c r="M722" s="12">
        <v>1094</v>
      </c>
      <c r="N722" s="12">
        <v>12</v>
      </c>
      <c r="O722" s="15"/>
      <c r="P722" s="6">
        <v>40503.406458333331</v>
      </c>
      <c r="Q722" s="16" t="s">
        <v>290</v>
      </c>
      <c r="R722" s="17" t="s">
        <v>291</v>
      </c>
      <c r="S722" s="11"/>
      <c r="T722" s="11"/>
      <c r="U722" s="10" t="str">
        <f>HYPERLINK("https://pbs.twimg.com/profile_images/959348744822157312/wUGKBFb3.jpg","View")</f>
        <v>View</v>
      </c>
    </row>
    <row r="723" spans="1:21" ht="40.799999999999997">
      <c r="A723" s="6">
        <v>43426.355451388888</v>
      </c>
      <c r="B723" s="7" t="str">
        <f>HYPERLINK("https://twitter.com/Cambiemoselpalm","@Cambiemoselpalm")</f>
        <v>@Cambiemoselpalm</v>
      </c>
      <c r="C723" s="8" t="s">
        <v>1753</v>
      </c>
      <c r="D723" s="9" t="s">
        <v>1754</v>
      </c>
      <c r="E723" s="10" t="str">
        <f>HYPERLINK("https://twitter.com/Cambiemoselpalm/status/1065644036307001344","1065644036307001344")</f>
        <v>1065644036307001344</v>
      </c>
      <c r="F723" s="11"/>
      <c r="G723" s="14" t="s">
        <v>1757</v>
      </c>
      <c r="H723" s="11"/>
      <c r="I723" s="12">
        <v>5</v>
      </c>
      <c r="J723" s="12">
        <v>4</v>
      </c>
      <c r="K723" s="13" t="str">
        <f t="shared" si="150"/>
        <v>Twitter for Android</v>
      </c>
      <c r="L723" s="12">
        <v>1043</v>
      </c>
      <c r="M723" s="12">
        <v>4838</v>
      </c>
      <c r="N723" s="12">
        <v>6</v>
      </c>
      <c r="O723" s="15"/>
      <c r="P723" s="6">
        <v>42206.183449074073</v>
      </c>
      <c r="Q723" s="11"/>
      <c r="R723" s="17" t="s">
        <v>1758</v>
      </c>
      <c r="S723" s="14" t="s">
        <v>1759</v>
      </c>
      <c r="T723" s="11"/>
      <c r="U723" s="10" t="str">
        <f>HYPERLINK("https://pbs.twimg.com/profile_images/1003582746508365824/PC_HDq9B.jpg","View")</f>
        <v>View</v>
      </c>
    </row>
    <row r="724" spans="1:21" ht="51">
      <c r="A724" s="6">
        <v>43426.355254629627</v>
      </c>
      <c r="B724" s="7" t="str">
        <f>HYPERLINK("https://twitter.com/publico_es","@publico_es")</f>
        <v>@publico_es</v>
      </c>
      <c r="C724" s="8" t="s">
        <v>1763</v>
      </c>
      <c r="D724" s="9" t="s">
        <v>1764</v>
      </c>
      <c r="E724" s="10" t="str">
        <f>HYPERLINK("https://twitter.com/publico_es/status/1065643965418885120","1065643965418885120")</f>
        <v>1065643965418885120</v>
      </c>
      <c r="F724" s="14" t="s">
        <v>1766</v>
      </c>
      <c r="G724" s="14" t="s">
        <v>1767</v>
      </c>
      <c r="H724" s="11"/>
      <c r="I724" s="12">
        <v>56</v>
      </c>
      <c r="J724" s="12">
        <v>90</v>
      </c>
      <c r="K724" s="13" t="str">
        <f>HYPERLINK("http://snappytv.com","SnappyTV.com")</f>
        <v>SnappyTV.com</v>
      </c>
      <c r="L724" s="12">
        <v>911011</v>
      </c>
      <c r="M724" s="12">
        <v>1455</v>
      </c>
      <c r="N724" s="12">
        <v>14824</v>
      </c>
      <c r="O724" s="18" t="s">
        <v>52</v>
      </c>
      <c r="P724" s="6">
        <v>39779.184525462959</v>
      </c>
      <c r="Q724" s="16" t="s">
        <v>886</v>
      </c>
      <c r="R724" s="17" t="s">
        <v>1770</v>
      </c>
      <c r="S724" s="14" t="s">
        <v>1766</v>
      </c>
      <c r="T724" s="11"/>
      <c r="U724" s="10" t="str">
        <f>HYPERLINK("https://pbs.twimg.com/profile_images/1048242435682422786/FdzZWHU8.jpg","View")</f>
        <v>View</v>
      </c>
    </row>
    <row r="725" spans="1:21" ht="40.799999999999997">
      <c r="A725" s="6">
        <v>43426.355196759258</v>
      </c>
      <c r="B725" s="7" t="str">
        <f>HYPERLINK("https://twitter.com/modescasamayor","@modescasamayor")</f>
        <v>@modescasamayor</v>
      </c>
      <c r="C725" s="8" t="s">
        <v>4547</v>
      </c>
      <c r="D725" s="9" t="s">
        <v>4548</v>
      </c>
      <c r="E725" s="10" t="str">
        <f>HYPERLINK("https://twitter.com/modescasamayor/status/1065643943000506369","1065643943000506369")</f>
        <v>1065643943000506369</v>
      </c>
      <c r="F725" s="14" t="s">
        <v>4549</v>
      </c>
      <c r="G725" s="11"/>
      <c r="H725" s="11"/>
      <c r="I725" s="12">
        <v>0</v>
      </c>
      <c r="J725" s="12">
        <v>0</v>
      </c>
      <c r="K725" s="13" t="str">
        <f>HYPERLINK("http://twitter.com","Twitter Web Client")</f>
        <v>Twitter Web Client</v>
      </c>
      <c r="L725" s="12">
        <v>3074</v>
      </c>
      <c r="M725" s="12">
        <v>5004</v>
      </c>
      <c r="N725" s="12">
        <v>20</v>
      </c>
      <c r="O725" s="15"/>
      <c r="P725" s="6">
        <v>41753.181458333333</v>
      </c>
      <c r="Q725" s="11"/>
      <c r="R725" s="17" t="s">
        <v>4551</v>
      </c>
      <c r="S725" s="11"/>
      <c r="T725" s="11"/>
      <c r="U725" s="10" t="str">
        <f>HYPERLINK("https://pbs.twimg.com/profile_images/857614430523314176/jHHWwDWC.jpg","View")</f>
        <v>View</v>
      </c>
    </row>
    <row r="726" spans="1:21" ht="40.799999999999997">
      <c r="A726" s="6">
        <v>43426.355092592596</v>
      </c>
      <c r="B726" s="7" t="str">
        <f>HYPERLINK("https://twitter.com/chiscas_chisco","@chiscas_chisco")</f>
        <v>@chiscas_chisco</v>
      </c>
      <c r="C726" s="8" t="s">
        <v>1772</v>
      </c>
      <c r="D726" s="9" t="s">
        <v>1773</v>
      </c>
      <c r="E726" s="10" t="str">
        <f>HYPERLINK("https://twitter.com/chiscas_chisco/status/1065643905276936192","1065643905276936192")</f>
        <v>1065643905276936192</v>
      </c>
      <c r="F726" s="11"/>
      <c r="G726" s="14" t="s">
        <v>1774</v>
      </c>
      <c r="H726" s="11"/>
      <c r="I726" s="12">
        <v>0</v>
      </c>
      <c r="J726" s="12">
        <v>0</v>
      </c>
      <c r="K726" s="13" t="str">
        <f>HYPERLINK("http://twitter.com/download/iphone","Twitter for iPhone")</f>
        <v>Twitter for iPhone</v>
      </c>
      <c r="L726" s="12">
        <v>298</v>
      </c>
      <c r="M726" s="12">
        <v>821</v>
      </c>
      <c r="N726" s="12">
        <v>21</v>
      </c>
      <c r="O726" s="15"/>
      <c r="P726" s="6">
        <v>40811.122870370367</v>
      </c>
      <c r="Q726" s="16" t="s">
        <v>1775</v>
      </c>
      <c r="R726" s="17" t="s">
        <v>1776</v>
      </c>
      <c r="S726" s="11"/>
      <c r="T726" s="11"/>
      <c r="U726" s="10" t="str">
        <f>HYPERLINK("https://pbs.twimg.com/profile_images/667466590200463362/YeaR-k0t.jpg","View")</f>
        <v>View</v>
      </c>
    </row>
    <row r="727" spans="1:21" ht="40.799999999999997">
      <c r="A727" s="6">
        <v>43426.35456018518</v>
      </c>
      <c r="B727" s="7" t="str">
        <f>HYPERLINK("https://twitter.com/Jota_POV","@Jota_POV")</f>
        <v>@Jota_POV</v>
      </c>
      <c r="C727" s="8" t="s">
        <v>4557</v>
      </c>
      <c r="D727" s="9" t="s">
        <v>4558</v>
      </c>
      <c r="E727" s="10" t="str">
        <f>HYPERLINK("https://twitter.com/Jota_POV/status/1065643711751745536","1065643711751745536")</f>
        <v>1065643711751745536</v>
      </c>
      <c r="F727" s="14" t="s">
        <v>4560</v>
      </c>
      <c r="G727" s="14" t="s">
        <v>4561</v>
      </c>
      <c r="H727" s="11"/>
      <c r="I727" s="12">
        <v>0</v>
      </c>
      <c r="J727" s="12">
        <v>2</v>
      </c>
      <c r="K727" s="13" t="str">
        <f>HYPERLINK("http://publicize.wp.com/","WordPress.com")</f>
        <v>WordPress.com</v>
      </c>
      <c r="L727" s="12">
        <v>4520</v>
      </c>
      <c r="M727" s="12">
        <v>3201</v>
      </c>
      <c r="N727" s="12">
        <v>50</v>
      </c>
      <c r="O727" s="15"/>
      <c r="P727" s="6">
        <v>41980.506006944444</v>
      </c>
      <c r="Q727" s="11"/>
      <c r="R727" s="17" t="s">
        <v>4563</v>
      </c>
      <c r="S727" s="14" t="s">
        <v>4564</v>
      </c>
      <c r="T727" s="11"/>
      <c r="U727" s="10" t="str">
        <f>HYPERLINK("https://pbs.twimg.com/profile_images/947892020210798592/Rl5Z9RiM.jpg","View")</f>
        <v>View</v>
      </c>
    </row>
    <row r="728" spans="1:21" ht="30.6">
      <c r="A728" s="6">
        <v>43426.354421296295</v>
      </c>
      <c r="B728" s="7" t="str">
        <f>HYPERLINK("https://twitter.com/mnavarrorincon","@mnavarrorincon")</f>
        <v>@mnavarrorincon</v>
      </c>
      <c r="C728" s="8" t="s">
        <v>4565</v>
      </c>
      <c r="D728" s="9" t="s">
        <v>1573</v>
      </c>
      <c r="E728" s="10" t="str">
        <f>HYPERLINK("https://twitter.com/mnavarrorincon/status/1065643664540602371","1065643664540602371")</f>
        <v>1065643664540602371</v>
      </c>
      <c r="F728" s="14" t="s">
        <v>1316</v>
      </c>
      <c r="G728" s="11"/>
      <c r="H728" s="11"/>
      <c r="I728" s="12">
        <v>0</v>
      </c>
      <c r="J728" s="12">
        <v>0</v>
      </c>
      <c r="K728" s="13" t="str">
        <f>HYPERLINK("http://twitter.com/download/iphone","Twitter for iPhone")</f>
        <v>Twitter for iPhone</v>
      </c>
      <c r="L728" s="12">
        <v>150</v>
      </c>
      <c r="M728" s="12">
        <v>95</v>
      </c>
      <c r="N728" s="12">
        <v>16</v>
      </c>
      <c r="O728" s="15"/>
      <c r="P728" s="6">
        <v>42154.45689814815</v>
      </c>
      <c r="Q728" s="16" t="s">
        <v>4568</v>
      </c>
      <c r="R728" s="19"/>
      <c r="S728" s="11"/>
      <c r="T728" s="11"/>
      <c r="U728" s="10" t="str">
        <f>HYPERLINK("https://pbs.twimg.com/profile_images/881154773298417665/Hgx1ATn5.jpg","View")</f>
        <v>View</v>
      </c>
    </row>
    <row r="729" spans="1:21" ht="20.399999999999999">
      <c r="A729" s="6">
        <v>43426.35392361111</v>
      </c>
      <c r="B729" s="7" t="str">
        <f>HYPERLINK("https://twitter.com/Don_Erreqerre","@Don_Erreqerre")</f>
        <v>@Don_Erreqerre</v>
      </c>
      <c r="C729" s="8" t="s">
        <v>2799</v>
      </c>
      <c r="D729" s="9" t="s">
        <v>4569</v>
      </c>
      <c r="E729" s="10" t="str">
        <f>HYPERLINK("https://twitter.com/Don_Erreqerre/status/1065643481861902336","1065643481861902336")</f>
        <v>1065643481861902336</v>
      </c>
      <c r="F729" s="11"/>
      <c r="G729" s="14" t="s">
        <v>4570</v>
      </c>
      <c r="H729" s="11"/>
      <c r="I729" s="12">
        <v>2</v>
      </c>
      <c r="J729" s="12">
        <v>6</v>
      </c>
      <c r="K729" s="13" t="str">
        <f>HYPERLINK("http://twitter.com/download/android","Twitter for Android")</f>
        <v>Twitter for Android</v>
      </c>
      <c r="L729" s="12">
        <v>1336</v>
      </c>
      <c r="M729" s="12">
        <v>1918</v>
      </c>
      <c r="N729" s="12">
        <v>17</v>
      </c>
      <c r="O729" s="15"/>
      <c r="P729" s="6">
        <v>42583.258506944447</v>
      </c>
      <c r="Q729" s="11"/>
      <c r="R729" s="17" t="s">
        <v>2802</v>
      </c>
      <c r="S729" s="11"/>
      <c r="T729" s="11"/>
      <c r="U729" s="10" t="str">
        <f>HYPERLINK("https://pbs.twimg.com/profile_images/922104917715832832/tKwzmJac.jpg","View")</f>
        <v>View</v>
      </c>
    </row>
    <row r="730" spans="1:21" ht="40.799999999999997">
      <c r="A730" s="6">
        <v>43426.353680555556</v>
      </c>
      <c r="B730" s="7" t="str">
        <f>HYPERLINK("https://twitter.com/eslatarde","@eslatarde")</f>
        <v>@eslatarde</v>
      </c>
      <c r="C730" s="8" t="s">
        <v>4572</v>
      </c>
      <c r="D730" s="9" t="s">
        <v>4573</v>
      </c>
      <c r="E730" s="10" t="str">
        <f>HYPERLINK("https://twitter.com/eslatarde/status/1065643395530526720","1065643395530526720")</f>
        <v>1065643395530526720</v>
      </c>
      <c r="F730" s="11"/>
      <c r="G730" s="11"/>
      <c r="H730" s="11"/>
      <c r="I730" s="12">
        <v>11</v>
      </c>
      <c r="J730" s="12">
        <v>12</v>
      </c>
      <c r="K730" s="13" t="str">
        <f>HYPERLINK("http://twitter.com","Twitter Web Client")</f>
        <v>Twitter Web Client</v>
      </c>
      <c r="L730" s="12">
        <v>21217</v>
      </c>
      <c r="M730" s="12">
        <v>1195</v>
      </c>
      <c r="N730" s="12">
        <v>178</v>
      </c>
      <c r="O730" s="18" t="s">
        <v>52</v>
      </c>
      <c r="P730" s="6">
        <v>41487.325925925928</v>
      </c>
      <c r="Q730" s="11"/>
      <c r="R730" s="17" t="s">
        <v>4575</v>
      </c>
      <c r="S730" s="14" t="s">
        <v>4576</v>
      </c>
      <c r="T730" s="11"/>
      <c r="U730" s="10" t="str">
        <f>HYPERLINK("https://pbs.twimg.com/profile_images/430657794740457472/J8u4e-W3.jpeg","View")</f>
        <v>View</v>
      </c>
    </row>
    <row r="731" spans="1:21" ht="20.399999999999999">
      <c r="A731" s="6">
        <v>43426.35</v>
      </c>
      <c r="B731" s="7" t="str">
        <f>HYPERLINK("https://twitter.com/clamorsegovia","@clamorsegovia")</f>
        <v>@clamorsegovia</v>
      </c>
      <c r="C731" s="8" t="s">
        <v>4577</v>
      </c>
      <c r="D731" s="9" t="s">
        <v>768</v>
      </c>
      <c r="E731" s="10" t="str">
        <f>HYPERLINK("https://twitter.com/clamorsegovia/status/1065642058554253314","1065642058554253314")</f>
        <v>1065642058554253314</v>
      </c>
      <c r="F731" s="14" t="s">
        <v>529</v>
      </c>
      <c r="G731" s="11"/>
      <c r="H731" s="11"/>
      <c r="I731" s="12">
        <v>1</v>
      </c>
      <c r="J731" s="12">
        <v>1</v>
      </c>
      <c r="K731" s="13" t="str">
        <f t="shared" ref="K731:K733" si="151">HYPERLINK("http://twitter.com/download/android","Twitter for Android")</f>
        <v>Twitter for Android</v>
      </c>
      <c r="L731" s="12">
        <v>2720</v>
      </c>
      <c r="M731" s="12">
        <v>1715</v>
      </c>
      <c r="N731" s="12">
        <v>44</v>
      </c>
      <c r="O731" s="15"/>
      <c r="P731" s="6">
        <v>40615.067974537036</v>
      </c>
      <c r="Q731" s="16" t="s">
        <v>38</v>
      </c>
      <c r="R731" s="17" t="s">
        <v>4580</v>
      </c>
      <c r="S731" s="14" t="s">
        <v>4581</v>
      </c>
      <c r="T731" s="11"/>
      <c r="U731" s="10" t="str">
        <f>HYPERLINK("https://pbs.twimg.com/profile_images/1055051697536622592/sYsCmnMN.jpg","View")</f>
        <v>View</v>
      </c>
    </row>
    <row r="732" spans="1:21" ht="51">
      <c r="A732" s="6">
        <v>43426.349537037036</v>
      </c>
      <c r="B732" s="7" t="str">
        <f>HYPERLINK("https://twitter.com/javitracus","@javitracus")</f>
        <v>@javitracus</v>
      </c>
      <c r="C732" s="8" t="s">
        <v>4582</v>
      </c>
      <c r="D732" s="9" t="s">
        <v>4583</v>
      </c>
      <c r="E732" s="10" t="str">
        <f>HYPERLINK("https://twitter.com/javitracus/status/1065641893147697152","1065641893147697152")</f>
        <v>1065641893147697152</v>
      </c>
      <c r="F732" s="16" t="s">
        <v>4205</v>
      </c>
      <c r="G732" s="11"/>
      <c r="H732" s="11"/>
      <c r="I732" s="12">
        <v>0</v>
      </c>
      <c r="J732" s="12">
        <v>0</v>
      </c>
      <c r="K732" s="13" t="str">
        <f t="shared" si="151"/>
        <v>Twitter for Android</v>
      </c>
      <c r="L732" s="12">
        <v>41</v>
      </c>
      <c r="M732" s="12">
        <v>116</v>
      </c>
      <c r="N732" s="12">
        <v>5</v>
      </c>
      <c r="O732" s="15"/>
      <c r="P732" s="6">
        <v>40688.413622685184</v>
      </c>
      <c r="Q732" s="16" t="s">
        <v>4586</v>
      </c>
      <c r="R732" s="19"/>
      <c r="S732" s="11"/>
      <c r="T732" s="11"/>
      <c r="U732" s="10" t="str">
        <f>HYPERLINK("https://pbs.twimg.com/profile_images/994235666950172672/L1WIsYpj.jpg","View")</f>
        <v>View</v>
      </c>
    </row>
    <row r="733" spans="1:21" ht="71.400000000000006">
      <c r="A733" s="6">
        <v>43426.349062499998</v>
      </c>
      <c r="B733" s="7" t="str">
        <f>HYPERLINK("https://twitter.com/Ecoperuko","@Ecoperuko")</f>
        <v>@Ecoperuko</v>
      </c>
      <c r="C733" s="8" t="s">
        <v>4587</v>
      </c>
      <c r="D733" s="9" t="s">
        <v>4588</v>
      </c>
      <c r="E733" s="10" t="str">
        <f>HYPERLINK("https://twitter.com/Ecoperuko/status/1065641720170323968","1065641720170323968")</f>
        <v>1065641720170323968</v>
      </c>
      <c r="F733" s="16" t="s">
        <v>4590</v>
      </c>
      <c r="G733" s="11"/>
      <c r="H733" s="11"/>
      <c r="I733" s="12">
        <v>0</v>
      </c>
      <c r="J733" s="12">
        <v>0</v>
      </c>
      <c r="K733" s="13" t="str">
        <f t="shared" si="151"/>
        <v>Twitter for Android</v>
      </c>
      <c r="L733" s="12">
        <v>617</v>
      </c>
      <c r="M733" s="12">
        <v>793</v>
      </c>
      <c r="N733" s="12">
        <v>8</v>
      </c>
      <c r="O733" s="15"/>
      <c r="P733" s="6">
        <v>40587.380844907406</v>
      </c>
      <c r="Q733" s="16" t="s">
        <v>4591</v>
      </c>
      <c r="R733" s="17" t="s">
        <v>4592</v>
      </c>
      <c r="S733" s="14" t="s">
        <v>4593</v>
      </c>
      <c r="T733" s="11"/>
      <c r="U733" s="10" t="str">
        <f>HYPERLINK("https://pbs.twimg.com/profile_images/816029346531930113/p5qBrY3j.jpg","View")</f>
        <v>View</v>
      </c>
    </row>
    <row r="734" spans="1:21" ht="40.799999999999997">
      <c r="A734" s="6">
        <v>43426.347349537042</v>
      </c>
      <c r="B734" s="7" t="str">
        <f>HYPERLINK("https://twitter.com/Guillemmartnez","@Guillemmartnez")</f>
        <v>@Guillemmartnez</v>
      </c>
      <c r="C734" s="8" t="s">
        <v>1779</v>
      </c>
      <c r="D734" s="9" t="s">
        <v>1780</v>
      </c>
      <c r="E734" s="10" t="str">
        <f>HYPERLINK("https://twitter.com/Guillemmartnez/status/1065641101401427968","1065641101401427968")</f>
        <v>1065641101401427968</v>
      </c>
      <c r="F734" s="14" t="s">
        <v>529</v>
      </c>
      <c r="G734" s="11"/>
      <c r="H734" s="11"/>
      <c r="I734" s="12">
        <v>20</v>
      </c>
      <c r="J734" s="12">
        <v>28</v>
      </c>
      <c r="K734" s="13" t="str">
        <f>HYPERLINK("http://twitter.com/download/iphone","Twitter for iPhone")</f>
        <v>Twitter for iPhone</v>
      </c>
      <c r="L734" s="12">
        <v>20970</v>
      </c>
      <c r="M734" s="12">
        <v>1764</v>
      </c>
      <c r="N734" s="12">
        <v>444</v>
      </c>
      <c r="O734" s="15"/>
      <c r="P734" s="6">
        <v>40471.663576388892</v>
      </c>
      <c r="Q734" s="16" t="s">
        <v>1784</v>
      </c>
      <c r="R734" s="17" t="s">
        <v>1785</v>
      </c>
      <c r="S734" s="11"/>
      <c r="T734" s="11"/>
      <c r="U734" s="10" t="str">
        <f>HYPERLINK("https://pbs.twimg.com/profile_images/1364663525/12097646324UD1Js.jpg","View")</f>
        <v>View</v>
      </c>
    </row>
    <row r="735" spans="1:21" ht="40.799999999999997">
      <c r="A735" s="6">
        <v>43426.343414351853</v>
      </c>
      <c r="B735" s="7" t="str">
        <f>HYPERLINK("https://twitter.com/Ricardo13625223","@Ricardo13625223")</f>
        <v>@Ricardo13625223</v>
      </c>
      <c r="C735" s="8" t="s">
        <v>4597</v>
      </c>
      <c r="D735" s="9" t="s">
        <v>1573</v>
      </c>
      <c r="E735" s="10" t="str">
        <f>HYPERLINK("https://twitter.com/Ricardo13625223/status/1065639673018687490","1065639673018687490")</f>
        <v>1065639673018687490</v>
      </c>
      <c r="F735" s="14" t="s">
        <v>1316</v>
      </c>
      <c r="G735" s="11"/>
      <c r="H735" s="11"/>
      <c r="I735" s="12">
        <v>1</v>
      </c>
      <c r="J735" s="12">
        <v>2</v>
      </c>
      <c r="K735" s="13" t="str">
        <f t="shared" ref="K735:K736" si="152">HYPERLINK("http://twitter.com/download/android","Twitter for Android")</f>
        <v>Twitter for Android</v>
      </c>
      <c r="L735" s="12">
        <v>5286</v>
      </c>
      <c r="M735" s="12">
        <v>5110</v>
      </c>
      <c r="N735" s="12">
        <v>19</v>
      </c>
      <c r="O735" s="15"/>
      <c r="P735" s="6">
        <v>42767.422800925924</v>
      </c>
      <c r="Q735" s="16" t="s">
        <v>4600</v>
      </c>
      <c r="R735" s="17" t="s">
        <v>4601</v>
      </c>
      <c r="S735" s="11"/>
      <c r="T735" s="11"/>
      <c r="U735" s="10" t="str">
        <f>HYPERLINK("https://pbs.twimg.com/profile_images/1051127391291105280/RYohfU97.jpg","View")</f>
        <v>View</v>
      </c>
    </row>
    <row r="736" spans="1:21" ht="51">
      <c r="A736" s="6">
        <v>43426.341342592597</v>
      </c>
      <c r="B736" s="7" t="str">
        <f>HYPERLINK("https://twitter.com/caval100","@caval100")</f>
        <v>@caval100</v>
      </c>
      <c r="C736" s="8" t="s">
        <v>1789</v>
      </c>
      <c r="D736" s="9" t="s">
        <v>1790</v>
      </c>
      <c r="E736" s="10" t="str">
        <f>HYPERLINK("https://twitter.com/caval100/status/1065638924863852559","1065638924863852559")</f>
        <v>1065638924863852559</v>
      </c>
      <c r="F736" s="14" t="s">
        <v>96</v>
      </c>
      <c r="G736" s="11"/>
      <c r="H736" s="11"/>
      <c r="I736" s="12">
        <v>7</v>
      </c>
      <c r="J736" s="12">
        <v>7</v>
      </c>
      <c r="K736" s="13" t="str">
        <f t="shared" si="152"/>
        <v>Twitter for Android</v>
      </c>
      <c r="L736" s="12">
        <v>119224</v>
      </c>
      <c r="M736" s="12">
        <v>94076</v>
      </c>
      <c r="N736" s="12">
        <v>980</v>
      </c>
      <c r="O736" s="15"/>
      <c r="P736" s="6">
        <v>40079.062094907407</v>
      </c>
      <c r="Q736" s="16" t="s">
        <v>475</v>
      </c>
      <c r="R736" s="17" t="s">
        <v>1793</v>
      </c>
      <c r="S736" s="14" t="s">
        <v>1795</v>
      </c>
      <c r="T736" s="11"/>
      <c r="U736" s="10" t="str">
        <f>HYPERLINK("https://pbs.twimg.com/profile_images/965350678301429760/uvGI7g8U.jpg","View")</f>
        <v>View</v>
      </c>
    </row>
    <row r="737" spans="1:21" ht="51">
      <c r="A737" s="6">
        <v>43426.34002314815</v>
      </c>
      <c r="B737" s="7" t="str">
        <f>HYPERLINK("https://twitter.com/beaherranz_","@beaherranz_")</f>
        <v>@beaherranz_</v>
      </c>
      <c r="C737" s="8" t="s">
        <v>1799</v>
      </c>
      <c r="D737" s="9" t="s">
        <v>1800</v>
      </c>
      <c r="E737" s="10" t="str">
        <f>HYPERLINK("https://twitter.com/beaherranz_/status/1065638444750303238","1065638444750303238")</f>
        <v>1065638444750303238</v>
      </c>
      <c r="F737" s="14" t="s">
        <v>96</v>
      </c>
      <c r="G737" s="11"/>
      <c r="H737" s="11"/>
      <c r="I737" s="12">
        <v>0</v>
      </c>
      <c r="J737" s="12">
        <v>0</v>
      </c>
      <c r="K737" s="13" t="str">
        <f>HYPERLINK("http://twitter.com/download/iphone","Twitter for iPhone")</f>
        <v>Twitter for iPhone</v>
      </c>
      <c r="L737" s="12">
        <v>943</v>
      </c>
      <c r="M737" s="12">
        <v>1216</v>
      </c>
      <c r="N737" s="12">
        <v>12</v>
      </c>
      <c r="O737" s="15"/>
      <c r="P737" s="6">
        <v>40185.673460648148</v>
      </c>
      <c r="Q737" s="16" t="s">
        <v>1801</v>
      </c>
      <c r="R737" s="17" t="s">
        <v>1802</v>
      </c>
      <c r="S737" s="14" t="s">
        <v>1803</v>
      </c>
      <c r="T737" s="11"/>
      <c r="U737" s="10" t="str">
        <f>HYPERLINK("https://pbs.twimg.com/profile_images/1053991122018689024/7OJjqYSH.jpg","View")</f>
        <v>View</v>
      </c>
    </row>
    <row r="738" spans="1:21" ht="20.399999999999999">
      <c r="A738" s="6">
        <v>43426.33971064815</v>
      </c>
      <c r="B738" s="7" t="str">
        <f>HYPERLINK("https://twitter.com/Chaganistan","@Chaganistan")</f>
        <v>@Chaganistan</v>
      </c>
      <c r="C738" s="8" t="s">
        <v>4613</v>
      </c>
      <c r="D738" s="9" t="s">
        <v>383</v>
      </c>
      <c r="E738" s="10" t="str">
        <f>HYPERLINK("https://twitter.com/Chaganistan/status/1065638330862395392","1065638330862395392")</f>
        <v>1065638330862395392</v>
      </c>
      <c r="F738" s="14" t="s">
        <v>4614</v>
      </c>
      <c r="G738" s="11"/>
      <c r="H738" s="11"/>
      <c r="I738" s="12">
        <v>0</v>
      </c>
      <c r="J738" s="12">
        <v>1</v>
      </c>
      <c r="K738" s="13" t="str">
        <f>HYPERLINK("http://twitter.com/download/android","Twitter for Android")</f>
        <v>Twitter for Android</v>
      </c>
      <c r="L738" s="12">
        <v>5</v>
      </c>
      <c r="M738" s="12">
        <v>75</v>
      </c>
      <c r="N738" s="12">
        <v>0</v>
      </c>
      <c r="O738" s="15"/>
      <c r="P738" s="6">
        <v>43307.836759259255</v>
      </c>
      <c r="Q738" s="16" t="s">
        <v>4616</v>
      </c>
      <c r="R738" s="17" t="s">
        <v>4617</v>
      </c>
      <c r="S738" s="11"/>
      <c r="T738" s="11"/>
      <c r="U738" s="10" t="str">
        <f>HYPERLINK("https://pbs.twimg.com/profile_images/1023034151165779968/LASZA7KC.jpg","View")</f>
        <v>View</v>
      </c>
    </row>
    <row r="739" spans="1:21" ht="71.400000000000006">
      <c r="A739" s="6">
        <v>43426.338622685187</v>
      </c>
      <c r="B739" s="7" t="str">
        <f>HYPERLINK("https://twitter.com/alex_klonor","@alex_klonor")</f>
        <v>@alex_klonor</v>
      </c>
      <c r="C739" s="8" t="s">
        <v>1804</v>
      </c>
      <c r="D739" s="9" t="s">
        <v>1805</v>
      </c>
      <c r="E739" s="10" t="str">
        <f>HYPERLINK("https://twitter.com/alex_klonor/status/1065637936606179330","1065637936606179330")</f>
        <v>1065637936606179330</v>
      </c>
      <c r="F739" s="14" t="s">
        <v>748</v>
      </c>
      <c r="G739" s="14" t="s">
        <v>749</v>
      </c>
      <c r="H739" s="11"/>
      <c r="I739" s="12">
        <v>0</v>
      </c>
      <c r="J739" s="12">
        <v>0</v>
      </c>
      <c r="K739" s="13" t="str">
        <f>HYPERLINK("http://twitter.com/download/iphone","Twitter for iPhone")</f>
        <v>Twitter for iPhone</v>
      </c>
      <c r="L739" s="12">
        <v>316</v>
      </c>
      <c r="M739" s="12">
        <v>866</v>
      </c>
      <c r="N739" s="12">
        <v>16</v>
      </c>
      <c r="O739" s="15"/>
      <c r="P739" s="6">
        <v>42705.092164351852</v>
      </c>
      <c r="Q739" s="11"/>
      <c r="R739" s="17" t="s">
        <v>1809</v>
      </c>
      <c r="S739" s="11"/>
      <c r="T739" s="11"/>
      <c r="U739" s="10" t="str">
        <f>HYPERLINK("https://pbs.twimg.com/profile_images/1057940392371539968/R0bBDpnA.jpg","View")</f>
        <v>View</v>
      </c>
    </row>
    <row r="740" spans="1:21" ht="40.799999999999997">
      <c r="A740" s="6">
        <v>43426.338530092587</v>
      </c>
      <c r="B740" s="7" t="str">
        <f>HYPERLINK("https://twitter.com/caval100","@caval100")</f>
        <v>@caval100</v>
      </c>
      <c r="C740" s="8" t="s">
        <v>1789</v>
      </c>
      <c r="D740" s="9" t="s">
        <v>1812</v>
      </c>
      <c r="E740" s="10" t="str">
        <f>HYPERLINK("https://twitter.com/caval100/status/1065637903148244992","1065637903148244992")</f>
        <v>1065637903148244992</v>
      </c>
      <c r="F740" s="14" t="s">
        <v>96</v>
      </c>
      <c r="G740" s="11"/>
      <c r="H740" s="11"/>
      <c r="I740" s="12">
        <v>5</v>
      </c>
      <c r="J740" s="12">
        <v>1</v>
      </c>
      <c r="K740" s="13" t="str">
        <f>HYPERLINK("http://twitter.com/download/android","Twitter for Android")</f>
        <v>Twitter for Android</v>
      </c>
      <c r="L740" s="12">
        <v>119224</v>
      </c>
      <c r="M740" s="12">
        <v>94076</v>
      </c>
      <c r="N740" s="12">
        <v>980</v>
      </c>
      <c r="O740" s="15"/>
      <c r="P740" s="6">
        <v>40079.062094907407</v>
      </c>
      <c r="Q740" s="16" t="s">
        <v>475</v>
      </c>
      <c r="R740" s="17" t="s">
        <v>1793</v>
      </c>
      <c r="S740" s="14" t="s">
        <v>1795</v>
      </c>
      <c r="T740" s="11"/>
      <c r="U740" s="10" t="str">
        <f>HYPERLINK("https://pbs.twimg.com/profile_images/965350678301429760/uvGI7g8U.jpg","View")</f>
        <v>View</v>
      </c>
    </row>
    <row r="741" spans="1:21" ht="51">
      <c r="A741" s="6">
        <v>43426.336655092593</v>
      </c>
      <c r="B741" s="7" t="str">
        <f>HYPERLINK("https://twitter.com/sonia_riverogc","@sonia_riverogc")</f>
        <v>@sonia_riverogc</v>
      </c>
      <c r="C741" s="8" t="s">
        <v>4632</v>
      </c>
      <c r="D741" s="9" t="s">
        <v>4633</v>
      </c>
      <c r="E741" s="10" t="str">
        <f>HYPERLINK("https://twitter.com/sonia_riverogc/status/1065637224128106497","1065637224128106497")</f>
        <v>1065637224128106497</v>
      </c>
      <c r="F741" s="14" t="s">
        <v>4634</v>
      </c>
      <c r="G741" s="14" t="s">
        <v>4635</v>
      </c>
      <c r="H741" s="11"/>
      <c r="I741" s="12">
        <v>2</v>
      </c>
      <c r="J741" s="12">
        <v>1</v>
      </c>
      <c r="K741" s="13" t="str">
        <f>HYPERLINK("http://twitter.com","Twitter Web Client")</f>
        <v>Twitter Web Client</v>
      </c>
      <c r="L741" s="12">
        <v>1538</v>
      </c>
      <c r="M741" s="12">
        <v>1215</v>
      </c>
      <c r="N741" s="12">
        <v>19</v>
      </c>
      <c r="O741" s="15"/>
      <c r="P741" s="6">
        <v>40911.213993055557</v>
      </c>
      <c r="Q741" s="11"/>
      <c r="R741" s="19"/>
      <c r="S741" s="11"/>
      <c r="T741" s="11"/>
      <c r="U741" s="10" t="str">
        <f>HYPERLINK("https://pbs.twimg.com/profile_images/1000763977511686145/1e_jzlp0.jpg","View")</f>
        <v>View</v>
      </c>
    </row>
    <row r="742" spans="1:21" ht="51">
      <c r="A742" s="6">
        <v>43426.336493055554</v>
      </c>
      <c r="B742" s="7" t="str">
        <f>HYPERLINK("https://twitter.com/chiscas_chisco","@chiscas_chisco")</f>
        <v>@chiscas_chisco</v>
      </c>
      <c r="C742" s="8" t="s">
        <v>1772</v>
      </c>
      <c r="D742" s="9" t="s">
        <v>1815</v>
      </c>
      <c r="E742" s="10" t="str">
        <f>HYPERLINK("https://twitter.com/chiscas_chisco/status/1065637165550497792","1065637165550497792")</f>
        <v>1065637165550497792</v>
      </c>
      <c r="F742" s="11"/>
      <c r="G742" s="14" t="s">
        <v>1817</v>
      </c>
      <c r="H742" s="11"/>
      <c r="I742" s="12">
        <v>0</v>
      </c>
      <c r="J742" s="12">
        <v>0</v>
      </c>
      <c r="K742" s="13" t="str">
        <f>HYPERLINK("http://twitter.com/download/iphone","Twitter for iPhone")</f>
        <v>Twitter for iPhone</v>
      </c>
      <c r="L742" s="12">
        <v>298</v>
      </c>
      <c r="M742" s="12">
        <v>821</v>
      </c>
      <c r="N742" s="12">
        <v>21</v>
      </c>
      <c r="O742" s="15"/>
      <c r="P742" s="6">
        <v>40811.122870370367</v>
      </c>
      <c r="Q742" s="16" t="s">
        <v>1775</v>
      </c>
      <c r="R742" s="17" t="s">
        <v>1776</v>
      </c>
      <c r="S742" s="11"/>
      <c r="T742" s="11"/>
      <c r="U742" s="10" t="str">
        <f>HYPERLINK("https://pbs.twimg.com/profile_images/667466590200463362/YeaR-k0t.jpg","View")</f>
        <v>View</v>
      </c>
    </row>
    <row r="743" spans="1:21" ht="30.6">
      <c r="A743" s="6">
        <v>43426.336365740739</v>
      </c>
      <c r="B743" s="7" t="str">
        <f>HYPERLINK("https://twitter.com/LolaOrcajo","@LolaOrcajo")</f>
        <v>@LolaOrcajo</v>
      </c>
      <c r="C743" s="8" t="s">
        <v>1819</v>
      </c>
      <c r="D743" s="9" t="s">
        <v>1820</v>
      </c>
      <c r="E743" s="10" t="str">
        <f>HYPERLINK("https://twitter.com/LolaOrcajo/status/1065637118976958465","1065637118976958465")</f>
        <v>1065637118976958465</v>
      </c>
      <c r="F743" s="14" t="s">
        <v>1821</v>
      </c>
      <c r="G743" s="11"/>
      <c r="H743" s="11"/>
      <c r="I743" s="12">
        <v>0</v>
      </c>
      <c r="J743" s="12">
        <v>0</v>
      </c>
      <c r="K743" s="13" t="str">
        <f>HYPERLINK("http://twitter.com/download/android","Twitter for Android")</f>
        <v>Twitter for Android</v>
      </c>
      <c r="L743" s="12">
        <v>352</v>
      </c>
      <c r="M743" s="12">
        <v>834</v>
      </c>
      <c r="N743" s="12">
        <v>25</v>
      </c>
      <c r="O743" s="15"/>
      <c r="P743" s="6">
        <v>40577.590601851851</v>
      </c>
      <c r="Q743" s="16" t="s">
        <v>1824</v>
      </c>
      <c r="R743" s="17" t="s">
        <v>1825</v>
      </c>
      <c r="S743" s="11"/>
      <c r="T743" s="11"/>
      <c r="U743" s="10" t="str">
        <f>HYPERLINK("https://pbs.twimg.com/profile_images/654217231010799616/7-jq7vtc.jpg","View")</f>
        <v>View</v>
      </c>
    </row>
    <row r="744" spans="1:21" ht="40.799999999999997">
      <c r="A744" s="6">
        <v>43426.336354166662</v>
      </c>
      <c r="B744" s="7" t="str">
        <f>HYPERLINK("https://twitter.com/rss_noticias","@rss_noticias")</f>
        <v>@rss_noticias</v>
      </c>
      <c r="C744" s="8" t="s">
        <v>4647</v>
      </c>
      <c r="D744" s="9" t="s">
        <v>4648</v>
      </c>
      <c r="E744" s="10" t="str">
        <f>HYPERLINK("https://twitter.com/rss_noticias/status/1065637116355518464","1065637116355518464")</f>
        <v>1065637116355518464</v>
      </c>
      <c r="F744" s="14" t="s">
        <v>4649</v>
      </c>
      <c r="G744" s="11"/>
      <c r="H744" s="11"/>
      <c r="I744" s="12">
        <v>0</v>
      </c>
      <c r="J744" s="12">
        <v>0</v>
      </c>
      <c r="K744" s="13" t="str">
        <f>HYPERLINK("https://ifttt.com","IFTTT")</f>
        <v>IFTTT</v>
      </c>
      <c r="L744" s="12">
        <v>125</v>
      </c>
      <c r="M744" s="12">
        <v>1</v>
      </c>
      <c r="N744" s="12">
        <v>2</v>
      </c>
      <c r="O744" s="15"/>
      <c r="P744" s="6">
        <v>43425.541296296295</v>
      </c>
      <c r="Q744" s="16" t="s">
        <v>4650</v>
      </c>
      <c r="R744" s="17" t="s">
        <v>4651</v>
      </c>
      <c r="S744" s="11"/>
      <c r="T744" s="11"/>
      <c r="U744" s="10" t="str">
        <f>HYPERLINK("https://pbs.twimg.com/profile_images/1065358148377153542/OtJ5HtwI.jpg","View")</f>
        <v>View</v>
      </c>
    </row>
    <row r="745" spans="1:21" ht="30.6">
      <c r="A745" s="6">
        <v>43426.33592592593</v>
      </c>
      <c r="B745" s="7" t="str">
        <f>HYPERLINK("https://twitter.com/sietenodiya","@sietenodiya")</f>
        <v>@sietenodiya</v>
      </c>
      <c r="C745" s="8" t="s">
        <v>4655</v>
      </c>
      <c r="D745" s="9" t="s">
        <v>4656</v>
      </c>
      <c r="E745" s="10" t="str">
        <f>HYPERLINK("https://twitter.com/sietenodiya/status/1065636961325584384","1065636961325584384")</f>
        <v>1065636961325584384</v>
      </c>
      <c r="F745" s="14" t="s">
        <v>529</v>
      </c>
      <c r="G745" s="11"/>
      <c r="H745" s="11"/>
      <c r="I745" s="12">
        <v>1</v>
      </c>
      <c r="J745" s="12">
        <v>0</v>
      </c>
      <c r="K745" s="13" t="str">
        <f>HYPERLINK("http://twitter.com","Twitter Web Client")</f>
        <v>Twitter Web Client</v>
      </c>
      <c r="L745" s="12">
        <v>510</v>
      </c>
      <c r="M745" s="12">
        <v>867</v>
      </c>
      <c r="N745" s="12">
        <v>6</v>
      </c>
      <c r="O745" s="15"/>
      <c r="P745" s="6">
        <v>42123.602256944447</v>
      </c>
      <c r="Q745" s="16" t="s">
        <v>2032</v>
      </c>
      <c r="R745" s="17" t="s">
        <v>4658</v>
      </c>
      <c r="S745" s="11"/>
      <c r="T745" s="11"/>
      <c r="U745" s="10" t="str">
        <f>HYPERLINK("https://pbs.twimg.com/profile_images/1063220048641343488/QtJBTlMO.jpg","View")</f>
        <v>View</v>
      </c>
    </row>
    <row r="746" spans="1:21" ht="30.6">
      <c r="A746" s="6">
        <v>43426.335532407407</v>
      </c>
      <c r="B746" s="7" t="str">
        <f>HYPERLINK("https://twitter.com/Saezgs","@Saezgs")</f>
        <v>@Saezgs</v>
      </c>
      <c r="C746" s="8" t="s">
        <v>4661</v>
      </c>
      <c r="D746" s="9" t="s">
        <v>4662</v>
      </c>
      <c r="E746" s="10" t="str">
        <f>HYPERLINK("https://twitter.com/Saezgs/status/1065636815929991169","1065636815929991169")</f>
        <v>1065636815929991169</v>
      </c>
      <c r="F746" s="16" t="s">
        <v>4664</v>
      </c>
      <c r="G746" s="11"/>
      <c r="H746" s="11"/>
      <c r="I746" s="12">
        <v>0</v>
      </c>
      <c r="J746" s="12">
        <v>0</v>
      </c>
      <c r="K746" s="13" t="str">
        <f>HYPERLINK("http://twitter.com/download/iphone","Twitter for iPhone")</f>
        <v>Twitter for iPhone</v>
      </c>
      <c r="L746" s="12">
        <v>157</v>
      </c>
      <c r="M746" s="12">
        <v>292</v>
      </c>
      <c r="N746" s="12">
        <v>1</v>
      </c>
      <c r="O746" s="15"/>
      <c r="P746" s="6">
        <v>40336.962638888886</v>
      </c>
      <c r="Q746" s="11"/>
      <c r="R746" s="17" t="s">
        <v>4667</v>
      </c>
      <c r="S746" s="11"/>
      <c r="T746" s="11"/>
      <c r="U746" s="10" t="str">
        <f>HYPERLINK("https://pbs.twimg.com/profile_images/905832435111342080/-3hfixKw.jpg","View")</f>
        <v>View</v>
      </c>
    </row>
    <row r="747" spans="1:21" ht="30.6">
      <c r="A747" s="6">
        <v>43426.334479166668</v>
      </c>
      <c r="B747" s="7" t="str">
        <f>HYPERLINK("https://twitter.com/Ferjimgon","@Ferjimgon")</f>
        <v>@Ferjimgon</v>
      </c>
      <c r="C747" s="8" t="s">
        <v>1827</v>
      </c>
      <c r="D747" s="9" t="s">
        <v>1829</v>
      </c>
      <c r="E747" s="10" t="str">
        <f>HYPERLINK("https://twitter.com/Ferjimgon/status/1065636436546908161","1065636436546908161")</f>
        <v>1065636436546908161</v>
      </c>
      <c r="F747" s="14" t="s">
        <v>1831</v>
      </c>
      <c r="G747" s="11"/>
      <c r="H747" s="11"/>
      <c r="I747" s="12">
        <v>0</v>
      </c>
      <c r="J747" s="12">
        <v>1</v>
      </c>
      <c r="K747" s="13" t="str">
        <f>HYPERLINK("http://twitter.com","Twitter Web Client")</f>
        <v>Twitter Web Client</v>
      </c>
      <c r="L747" s="12">
        <v>382</v>
      </c>
      <c r="M747" s="12">
        <v>997</v>
      </c>
      <c r="N747" s="12">
        <v>4</v>
      </c>
      <c r="O747" s="15"/>
      <c r="P747" s="6">
        <v>40196.311481481483</v>
      </c>
      <c r="Q747" s="16" t="s">
        <v>93</v>
      </c>
      <c r="R747" s="17" t="s">
        <v>1834</v>
      </c>
      <c r="S747" s="11"/>
      <c r="T747" s="11"/>
      <c r="U747" s="10" t="str">
        <f>HYPERLINK("https://pbs.twimg.com/profile_images/573153835197186048/2n2rOduU.jpeg","View")</f>
        <v>View</v>
      </c>
    </row>
    <row r="748" spans="1:21" ht="91.8">
      <c r="A748" s="6">
        <v>43426.333321759259</v>
      </c>
      <c r="B748" s="7" t="str">
        <f>HYPERLINK("https://twitter.com/Crintar75","@Crintar75")</f>
        <v>@Crintar75</v>
      </c>
      <c r="C748" s="8" t="s">
        <v>1838</v>
      </c>
      <c r="D748" s="9" t="s">
        <v>1839</v>
      </c>
      <c r="E748" s="10" t="str">
        <f>HYPERLINK("https://twitter.com/Crintar75/status/1065636016751632384","1065636016751632384")</f>
        <v>1065636016751632384</v>
      </c>
      <c r="F748" s="14" t="s">
        <v>748</v>
      </c>
      <c r="G748" s="14" t="s">
        <v>749</v>
      </c>
      <c r="H748" s="11"/>
      <c r="I748" s="12">
        <v>2</v>
      </c>
      <c r="J748" s="12">
        <v>2</v>
      </c>
      <c r="K748" s="13" t="str">
        <f>HYPERLINK("http://twitter.com/download/iphone","Twitter for iPhone")</f>
        <v>Twitter for iPhone</v>
      </c>
      <c r="L748" s="12">
        <v>153</v>
      </c>
      <c r="M748" s="12">
        <v>644</v>
      </c>
      <c r="N748" s="12">
        <v>6</v>
      </c>
      <c r="O748" s="15"/>
      <c r="P748" s="6">
        <v>40490.435370370367</v>
      </c>
      <c r="Q748" s="11"/>
      <c r="R748" s="17" t="s">
        <v>1842</v>
      </c>
      <c r="S748" s="11"/>
      <c r="T748" s="11"/>
      <c r="U748" s="10" t="str">
        <f>HYPERLINK("https://pbs.twimg.com/profile_images/495979438568660993/uJyZ1Z5j.jpeg","View")</f>
        <v>View</v>
      </c>
    </row>
    <row r="749" spans="1:21" ht="20.399999999999999">
      <c r="A749" s="6">
        <v>43426.333136574074</v>
      </c>
      <c r="B749" s="7" t="str">
        <f>HYPERLINK("https://twitter.com/franciscoponza1","@franciscoponza1")</f>
        <v>@franciscoponza1</v>
      </c>
      <c r="C749" s="8" t="s">
        <v>4680</v>
      </c>
      <c r="D749" s="9" t="s">
        <v>768</v>
      </c>
      <c r="E749" s="10" t="str">
        <f>HYPERLINK("https://twitter.com/franciscoponza1/status/1065635949487497218","1065635949487497218")</f>
        <v>1065635949487497218</v>
      </c>
      <c r="F749" s="14" t="s">
        <v>529</v>
      </c>
      <c r="G749" s="11"/>
      <c r="H749" s="11"/>
      <c r="I749" s="12">
        <v>0</v>
      </c>
      <c r="J749" s="12">
        <v>0</v>
      </c>
      <c r="K749" s="13" t="str">
        <f>HYPERLINK("http://twitter.com","Twitter Web Client")</f>
        <v>Twitter Web Client</v>
      </c>
      <c r="L749" s="12">
        <v>21</v>
      </c>
      <c r="M749" s="12">
        <v>107</v>
      </c>
      <c r="N749" s="12">
        <v>1</v>
      </c>
      <c r="O749" s="15"/>
      <c r="P749" s="6">
        <v>42474.184305555551</v>
      </c>
      <c r="Q749" s="16" t="s">
        <v>4684</v>
      </c>
      <c r="R749" s="17" t="s">
        <v>4685</v>
      </c>
      <c r="S749" s="11"/>
      <c r="T749" s="11"/>
      <c r="U749" s="10" t="str">
        <f>HYPERLINK("https://pbs.twimg.com/profile_images/818161385863606272/xHck72xP.jpg","View")</f>
        <v>View</v>
      </c>
    </row>
    <row r="750" spans="1:21" ht="61.2">
      <c r="A750" s="6">
        <v>43426.333043981482</v>
      </c>
      <c r="B750" s="7" t="str">
        <f>HYPERLINK("https://twitter.com/aitorvenero","@aitorvenero")</f>
        <v>@aitorvenero</v>
      </c>
      <c r="C750" s="8" t="s">
        <v>1843</v>
      </c>
      <c r="D750" s="9" t="s">
        <v>1844</v>
      </c>
      <c r="E750" s="10" t="str">
        <f>HYPERLINK("https://twitter.com/aitorvenero/status/1065635914423115776","1065635914423115776")</f>
        <v>1065635914423115776</v>
      </c>
      <c r="F750" s="11"/>
      <c r="G750" s="14" t="s">
        <v>1845</v>
      </c>
      <c r="H750" s="11"/>
      <c r="I750" s="12">
        <v>1</v>
      </c>
      <c r="J750" s="12">
        <v>3</v>
      </c>
      <c r="K750" s="13" t="str">
        <f>HYPERLINK("http://twitter.com/download/android","Twitter for Android")</f>
        <v>Twitter for Android</v>
      </c>
      <c r="L750" s="12">
        <v>270</v>
      </c>
      <c r="M750" s="12">
        <v>256</v>
      </c>
      <c r="N750" s="12">
        <v>15</v>
      </c>
      <c r="O750" s="15"/>
      <c r="P750" s="6">
        <v>40418.593217592592</v>
      </c>
      <c r="Q750" s="11"/>
      <c r="R750" s="17" t="s">
        <v>1846</v>
      </c>
      <c r="S750" s="11"/>
      <c r="T750" s="11"/>
      <c r="U750" s="10" t="str">
        <f>HYPERLINK("https://pbs.twimg.com/profile_images/1042089876655616001/r2nXjCNU.jpg","View")</f>
        <v>View</v>
      </c>
    </row>
    <row r="751" spans="1:21" ht="51">
      <c r="A751" s="6">
        <v>43426.333020833335</v>
      </c>
      <c r="B751" s="7" t="str">
        <f>HYPERLINK("https://twitter.com/Mario_Colleoni","@Mario_Colleoni")</f>
        <v>@Mario_Colleoni</v>
      </c>
      <c r="C751" s="8" t="s">
        <v>4691</v>
      </c>
      <c r="D751" s="9" t="s">
        <v>4692</v>
      </c>
      <c r="E751" s="10" t="str">
        <f>HYPERLINK("https://twitter.com/Mario_Colleoni/status/1065635907682881536","1065635907682881536")</f>
        <v>1065635907682881536</v>
      </c>
      <c r="F751" s="11"/>
      <c r="G751" s="14" t="s">
        <v>4695</v>
      </c>
      <c r="H751" s="11"/>
      <c r="I751" s="12">
        <v>0</v>
      </c>
      <c r="J751" s="12">
        <v>4</v>
      </c>
      <c r="K751" s="13" t="str">
        <f>HYPERLINK("http://twitter.com/download/iphone","Twitter for iPhone")</f>
        <v>Twitter for iPhone</v>
      </c>
      <c r="L751" s="12">
        <v>6470</v>
      </c>
      <c r="M751" s="12">
        <v>2425</v>
      </c>
      <c r="N751" s="12">
        <v>122</v>
      </c>
      <c r="O751" s="15"/>
      <c r="P751" s="6">
        <v>40418.201192129629</v>
      </c>
      <c r="Q751" s="16" t="s">
        <v>4696</v>
      </c>
      <c r="R751" s="17" t="s">
        <v>4697</v>
      </c>
      <c r="S751" s="14" t="s">
        <v>4699</v>
      </c>
      <c r="T751" s="11"/>
      <c r="U751" s="10" t="str">
        <f>HYPERLINK("https://pbs.twimg.com/profile_images/926036648726614022/3Dh7exIf.jpg","View")</f>
        <v>View</v>
      </c>
    </row>
    <row r="752" spans="1:21" ht="71.400000000000006">
      <c r="A752" s="6">
        <v>43426.330717592587</v>
      </c>
      <c r="B752" s="7" t="str">
        <f>HYPERLINK("https://twitter.com/Trolleando_lol","@Trolleando_lol")</f>
        <v>@Trolleando_lol</v>
      </c>
      <c r="C752" s="8" t="s">
        <v>4703</v>
      </c>
      <c r="D752" s="9" t="s">
        <v>4704</v>
      </c>
      <c r="E752" s="10" t="str">
        <f>HYPERLINK("https://twitter.com/Trolleando_lol/status/1065635072127180800","1065635072127180800")</f>
        <v>1065635072127180800</v>
      </c>
      <c r="F752" s="16" t="s">
        <v>2473</v>
      </c>
      <c r="G752" s="14" t="s">
        <v>2474</v>
      </c>
      <c r="H752" s="11"/>
      <c r="I752" s="12">
        <v>0</v>
      </c>
      <c r="J752" s="12">
        <v>0</v>
      </c>
      <c r="K752" s="13" t="str">
        <f t="shared" ref="K752:K753" si="153">HYPERLINK("http://twitter.com/download/android","Twitter for Android")</f>
        <v>Twitter for Android</v>
      </c>
      <c r="L752" s="12">
        <v>269</v>
      </c>
      <c r="M752" s="12">
        <v>192</v>
      </c>
      <c r="N752" s="12">
        <v>15</v>
      </c>
      <c r="O752" s="15"/>
      <c r="P752" s="6">
        <v>40911.210381944446</v>
      </c>
      <c r="Q752" s="16" t="s">
        <v>4708</v>
      </c>
      <c r="R752" s="17" t="s">
        <v>4709</v>
      </c>
      <c r="S752" s="11"/>
      <c r="T752" s="11"/>
      <c r="U752" s="10" t="str">
        <f>HYPERLINK("https://pbs.twimg.com/profile_images/666559277742600192/053tIt_i.jpg","View")</f>
        <v>View</v>
      </c>
    </row>
    <row r="753" spans="1:21" ht="51">
      <c r="A753" s="6">
        <v>43426.329861111109</v>
      </c>
      <c r="B753" s="7" t="str">
        <f>HYPERLINK("https://twitter.com/Quelenden","@Quelenden")</f>
        <v>@Quelenden</v>
      </c>
      <c r="C753" s="8" t="s">
        <v>1847</v>
      </c>
      <c r="D753" s="9" t="s">
        <v>1848</v>
      </c>
      <c r="E753" s="10" t="str">
        <f>HYPERLINK("https://twitter.com/Quelenden/status/1065634761039855616","1065634761039855616")</f>
        <v>1065634761039855616</v>
      </c>
      <c r="F753" s="14" t="s">
        <v>1849</v>
      </c>
      <c r="G753" s="11"/>
      <c r="H753" s="11"/>
      <c r="I753" s="12">
        <v>0</v>
      </c>
      <c r="J753" s="12">
        <v>0</v>
      </c>
      <c r="K753" s="13" t="str">
        <f t="shared" si="153"/>
        <v>Twitter for Android</v>
      </c>
      <c r="L753" s="12">
        <v>276</v>
      </c>
      <c r="M753" s="12">
        <v>198</v>
      </c>
      <c r="N753" s="12">
        <v>1</v>
      </c>
      <c r="O753" s="15"/>
      <c r="P753" s="6">
        <v>41352.258310185185</v>
      </c>
      <c r="Q753" s="11"/>
      <c r="R753" s="17" t="s">
        <v>1850</v>
      </c>
      <c r="S753" s="11"/>
      <c r="T753" s="11"/>
      <c r="U753" s="10" t="str">
        <f>HYPERLINK("https://pbs.twimg.com/profile_images/1024683790533312513/ppGwJpla.jpg","View")</f>
        <v>View</v>
      </c>
    </row>
    <row r="754" spans="1:21" ht="20.399999999999999">
      <c r="A754" s="6">
        <v>43426.328368055554</v>
      </c>
      <c r="B754" s="7" t="str">
        <f>HYPERLINK("https://twitter.com/BernaolaMaria","@BernaolaMaria")</f>
        <v>@BernaolaMaria</v>
      </c>
      <c r="C754" s="8" t="s">
        <v>4714</v>
      </c>
      <c r="D754" s="9" t="s">
        <v>768</v>
      </c>
      <c r="E754" s="10" t="str">
        <f>HYPERLINK("https://twitter.com/BernaolaMaria/status/1065634221820182529","1065634221820182529")</f>
        <v>1065634221820182529</v>
      </c>
      <c r="F754" s="14" t="s">
        <v>529</v>
      </c>
      <c r="G754" s="11"/>
      <c r="H754" s="11"/>
      <c r="I754" s="12">
        <v>0</v>
      </c>
      <c r="J754" s="12">
        <v>0</v>
      </c>
      <c r="K754" s="13" t="str">
        <f>HYPERLINK("http://twitter.com","Twitter Web Client")</f>
        <v>Twitter Web Client</v>
      </c>
      <c r="L754" s="12">
        <v>87</v>
      </c>
      <c r="M754" s="12">
        <v>431</v>
      </c>
      <c r="N754" s="12">
        <v>5</v>
      </c>
      <c r="O754" s="15"/>
      <c r="P754" s="6">
        <v>41296.497847222221</v>
      </c>
      <c r="Q754" s="11"/>
      <c r="R754" s="19"/>
      <c r="S754" s="11"/>
      <c r="T754" s="11"/>
      <c r="U754" s="10" t="str">
        <f>HYPERLINK("https://pbs.twimg.com/profile_images/960736889539002368/SNSp-ZK9.jpg","View")</f>
        <v>View</v>
      </c>
    </row>
    <row r="755" spans="1:21" ht="40.799999999999997">
      <c r="A755" s="6">
        <v>43426.32612268519</v>
      </c>
      <c r="B755" s="7" t="str">
        <f>HYPERLINK("https://twitter.com/WomanDeCallao","@WomanDeCallao")</f>
        <v>@WomanDeCallao</v>
      </c>
      <c r="C755" s="8" t="s">
        <v>1851</v>
      </c>
      <c r="D755" s="9" t="s">
        <v>1852</v>
      </c>
      <c r="E755" s="10" t="str">
        <f>HYPERLINK("https://twitter.com/WomanDeCallao/status/1065633408833982465","1065633408833982465")</f>
        <v>1065633408833982465</v>
      </c>
      <c r="F755" s="14" t="s">
        <v>96</v>
      </c>
      <c r="G755" s="11"/>
      <c r="H755" s="11"/>
      <c r="I755" s="12">
        <v>0</v>
      </c>
      <c r="J755" s="12">
        <v>0</v>
      </c>
      <c r="K755" s="13" t="str">
        <f>HYPERLINK("http://twitter.com/download/android","Twitter for Android")</f>
        <v>Twitter for Android</v>
      </c>
      <c r="L755" s="12">
        <v>2</v>
      </c>
      <c r="M755" s="12">
        <v>54</v>
      </c>
      <c r="N755" s="12">
        <v>1</v>
      </c>
      <c r="O755" s="15"/>
      <c r="P755" s="6">
        <v>42628.425023148149</v>
      </c>
      <c r="Q755" s="16" t="s">
        <v>1853</v>
      </c>
      <c r="R755" s="17" t="s">
        <v>1854</v>
      </c>
      <c r="S755" s="11"/>
      <c r="T755" s="11"/>
      <c r="U755" s="10" t="str">
        <f>HYPERLINK("https://pbs.twimg.com/profile_images/1031567872810729472/TjGkrjIj.jpg","View")</f>
        <v>View</v>
      </c>
    </row>
    <row r="756" spans="1:21" ht="40.799999999999997">
      <c r="A756" s="6">
        <v>43426.325381944444</v>
      </c>
      <c r="B756" s="7" t="str">
        <f>HYPERLINK("https://twitter.com/pablogentili","@pablogentili")</f>
        <v>@pablogentili</v>
      </c>
      <c r="C756" s="8" t="s">
        <v>1855</v>
      </c>
      <c r="D756" s="9" t="s">
        <v>1856</v>
      </c>
      <c r="E756" s="10" t="str">
        <f>HYPERLINK("https://twitter.com/pablogentili/status/1065633140566306817","1065633140566306817")</f>
        <v>1065633140566306817</v>
      </c>
      <c r="F756" s="11"/>
      <c r="G756" s="14" t="s">
        <v>1857</v>
      </c>
      <c r="H756" s="11"/>
      <c r="I756" s="12">
        <v>11</v>
      </c>
      <c r="J756" s="12">
        <v>36</v>
      </c>
      <c r="K756" s="13" t="str">
        <f>HYPERLINK("http://twitter.com","Twitter Web Client")</f>
        <v>Twitter Web Client</v>
      </c>
      <c r="L756" s="12">
        <v>20323</v>
      </c>
      <c r="M756" s="12">
        <v>1407</v>
      </c>
      <c r="N756" s="12">
        <v>195</v>
      </c>
      <c r="O756" s="15"/>
      <c r="P756" s="6">
        <v>40493.784270833334</v>
      </c>
      <c r="Q756" s="16" t="s">
        <v>1858</v>
      </c>
      <c r="R756" s="17" t="s">
        <v>1859</v>
      </c>
      <c r="S756" s="14" t="s">
        <v>1860</v>
      </c>
      <c r="T756" s="11"/>
      <c r="U756" s="10" t="str">
        <f>HYPERLINK("https://pbs.twimg.com/profile_images/1065599902275837953/DCCLPfZk.jpg","View")</f>
        <v>View</v>
      </c>
    </row>
    <row r="757" spans="1:21" ht="30.6">
      <c r="A757" s="6">
        <v>43426.32403935185</v>
      </c>
      <c r="B757" s="7" t="str">
        <f>HYPERLINK("https://twitter.com/juanluisescude1","@juanluisescude1")</f>
        <v>@juanluisescude1</v>
      </c>
      <c r="C757" s="8" t="s">
        <v>4724</v>
      </c>
      <c r="D757" s="9" t="s">
        <v>4726</v>
      </c>
      <c r="E757" s="10" t="str">
        <f>HYPERLINK("https://twitter.com/juanluisescude1/status/1065632654270316544","1065632654270316544")</f>
        <v>1065632654270316544</v>
      </c>
      <c r="F757" s="16" t="s">
        <v>4727</v>
      </c>
      <c r="G757" s="11"/>
      <c r="H757" s="11"/>
      <c r="I757" s="12">
        <v>0</v>
      </c>
      <c r="J757" s="12">
        <v>0</v>
      </c>
      <c r="K757" s="13" t="str">
        <f t="shared" ref="K757:K758" si="154">HYPERLINK("http://twitter.com/download/iphone","Twitter for iPhone")</f>
        <v>Twitter for iPhone</v>
      </c>
      <c r="L757" s="12">
        <v>318</v>
      </c>
      <c r="M757" s="12">
        <v>1138</v>
      </c>
      <c r="N757" s="12">
        <v>5</v>
      </c>
      <c r="O757" s="15"/>
      <c r="P757" s="6">
        <v>40990.765219907407</v>
      </c>
      <c r="Q757" s="11"/>
      <c r="R757" s="19"/>
      <c r="S757" s="11"/>
      <c r="T757" s="11"/>
      <c r="U757" s="10" t="str">
        <f>HYPERLINK("https://pbs.twimg.com/profile_images/969124747706499072/FxXItl0I.jpg","View")</f>
        <v>View</v>
      </c>
    </row>
    <row r="758" spans="1:21" ht="40.799999999999997">
      <c r="A758" s="6">
        <v>43426.323113425926</v>
      </c>
      <c r="B758" s="7" t="str">
        <f>HYPERLINK("https://twitter.com/JotageLimon","@JotageLimon")</f>
        <v>@JotageLimon</v>
      </c>
      <c r="C758" s="8" t="s">
        <v>4728</v>
      </c>
      <c r="D758" s="9" t="s">
        <v>4729</v>
      </c>
      <c r="E758" s="10" t="str">
        <f>HYPERLINK("https://twitter.com/JotageLimon/status/1065632315366359040","1065632315366359040")</f>
        <v>1065632315366359040</v>
      </c>
      <c r="F758" s="11"/>
      <c r="G758" s="11"/>
      <c r="H758" s="11"/>
      <c r="I758" s="12">
        <v>0</v>
      </c>
      <c r="J758" s="12">
        <v>0</v>
      </c>
      <c r="K758" s="13" t="str">
        <f t="shared" si="154"/>
        <v>Twitter for iPhone</v>
      </c>
      <c r="L758" s="12">
        <v>3260</v>
      </c>
      <c r="M758" s="12">
        <v>1715</v>
      </c>
      <c r="N758" s="12">
        <v>29</v>
      </c>
      <c r="O758" s="15"/>
      <c r="P758" s="6">
        <v>40760.724907407406</v>
      </c>
      <c r="Q758" s="16" t="s">
        <v>4731</v>
      </c>
      <c r="R758" s="17" t="s">
        <v>4733</v>
      </c>
      <c r="S758" s="14" t="s">
        <v>4734</v>
      </c>
      <c r="T758" s="11"/>
      <c r="U758" s="10" t="str">
        <f>HYPERLINK("https://pbs.twimg.com/profile_images/1042574928111919110/8-qKHFeh.jpg","View")</f>
        <v>View</v>
      </c>
    </row>
    <row r="759" spans="1:21" ht="61.2">
      <c r="A759" s="6">
        <v>43426.320856481485</v>
      </c>
      <c r="B759" s="7" t="str">
        <f>HYPERLINK("https://twitter.com/mosibaji","@mosibaji")</f>
        <v>@mosibaji</v>
      </c>
      <c r="C759" s="8" t="s">
        <v>1861</v>
      </c>
      <c r="D759" s="9" t="s">
        <v>1862</v>
      </c>
      <c r="E759" s="10" t="str">
        <f>HYPERLINK("https://twitter.com/mosibaji/status/1065631499909820419","1065631499909820419")</f>
        <v>1065631499909820419</v>
      </c>
      <c r="F759" s="16" t="s">
        <v>1742</v>
      </c>
      <c r="G759" s="14" t="s">
        <v>1431</v>
      </c>
      <c r="H759" s="11"/>
      <c r="I759" s="12">
        <v>0</v>
      </c>
      <c r="J759" s="12">
        <v>0</v>
      </c>
      <c r="K759" s="13" t="str">
        <f>HYPERLINK("https://mobile.twitter.com","Twitter Lite")</f>
        <v>Twitter Lite</v>
      </c>
      <c r="L759" s="12">
        <v>1585</v>
      </c>
      <c r="M759" s="12">
        <v>1583</v>
      </c>
      <c r="N759" s="12">
        <v>22</v>
      </c>
      <c r="O759" s="15"/>
      <c r="P759" s="6">
        <v>40442.53634259259</v>
      </c>
      <c r="Q759" s="16" t="s">
        <v>1863</v>
      </c>
      <c r="R759" s="17" t="s">
        <v>1864</v>
      </c>
      <c r="S759" s="11"/>
      <c r="T759" s="11"/>
      <c r="U759" s="10" t="str">
        <f>HYPERLINK("https://pbs.twimg.com/profile_images/913178893183369216/7rpTjy5z.jpg","View")</f>
        <v>View</v>
      </c>
    </row>
    <row r="760" spans="1:21" ht="40.799999999999997">
      <c r="A760" s="6">
        <v>43426.320509259254</v>
      </c>
      <c r="B760" s="7" t="str">
        <f>HYPERLINK("https://twitter.com/fvg1954","@fvg1954")</f>
        <v>@fvg1954</v>
      </c>
      <c r="C760" s="8" t="s">
        <v>4741</v>
      </c>
      <c r="D760" s="9" t="s">
        <v>4742</v>
      </c>
      <c r="E760" s="10" t="str">
        <f>HYPERLINK("https://twitter.com/fvg1954/status/1065631375167012868","1065631375167012868")</f>
        <v>1065631375167012868</v>
      </c>
      <c r="F760" s="11"/>
      <c r="G760" s="11"/>
      <c r="H760" s="11"/>
      <c r="I760" s="12">
        <v>0</v>
      </c>
      <c r="J760" s="12">
        <v>0</v>
      </c>
      <c r="K760" s="13" t="str">
        <f t="shared" ref="K760:K761" si="155">HYPERLINK("http://twitter.com/download/android","Twitter for Android")</f>
        <v>Twitter for Android</v>
      </c>
      <c r="L760" s="12">
        <v>44</v>
      </c>
      <c r="M760" s="12">
        <v>94</v>
      </c>
      <c r="N760" s="12">
        <v>0</v>
      </c>
      <c r="O760" s="15"/>
      <c r="P760" s="6">
        <v>41012.577997685185</v>
      </c>
      <c r="Q760" s="16" t="s">
        <v>4746</v>
      </c>
      <c r="R760" s="17" t="s">
        <v>4747</v>
      </c>
      <c r="S760" s="11"/>
      <c r="T760" s="11"/>
      <c r="U760" s="10" t="str">
        <f>HYPERLINK("https://pbs.twimg.com/profile_images/1024001399959560194/3cLH_VLF.jpg","View")</f>
        <v>View</v>
      </c>
    </row>
    <row r="761" spans="1:21" ht="40.799999999999997">
      <c r="A761" s="6">
        <v>43426.320231481484</v>
      </c>
      <c r="B761" s="7" t="str">
        <f>HYPERLINK("https://twitter.com/MqGuardiaCivil","@MqGuardiaCivil")</f>
        <v>@MqGuardiaCivil</v>
      </c>
      <c r="C761" s="8" t="s">
        <v>4748</v>
      </c>
      <c r="D761" s="9" t="s">
        <v>4749</v>
      </c>
      <c r="E761" s="10" t="str">
        <f>HYPERLINK("https://twitter.com/MqGuardiaCivil/status/1065631270527488006","1065631270527488006")</f>
        <v>1065631270527488006</v>
      </c>
      <c r="F761" s="11"/>
      <c r="G761" s="14" t="s">
        <v>4752</v>
      </c>
      <c r="H761" s="11"/>
      <c r="I761" s="12">
        <v>0</v>
      </c>
      <c r="J761" s="12">
        <v>1</v>
      </c>
      <c r="K761" s="13" t="str">
        <f t="shared" si="155"/>
        <v>Twitter for Android</v>
      </c>
      <c r="L761" s="12">
        <v>4253</v>
      </c>
      <c r="M761" s="12">
        <v>72</v>
      </c>
      <c r="N761" s="12">
        <v>65</v>
      </c>
      <c r="O761" s="15"/>
      <c r="P761" s="6">
        <v>42257.161956018521</v>
      </c>
      <c r="Q761" s="16" t="s">
        <v>28</v>
      </c>
      <c r="R761" s="17" t="s">
        <v>4754</v>
      </c>
      <c r="S761" s="14" t="s">
        <v>4755</v>
      </c>
      <c r="T761" s="11"/>
      <c r="U761" s="10" t="str">
        <f>HYPERLINK("https://pbs.twimg.com/profile_images/989898124289245185/Nqmi_6A_.jpg","View")</f>
        <v>View</v>
      </c>
    </row>
    <row r="762" spans="1:21" ht="112.2">
      <c r="A762" s="6">
        <v>43426.319571759261</v>
      </c>
      <c r="B762" s="7" t="str">
        <f>HYPERLINK("https://twitter.com/Tataguay","@Tataguay")</f>
        <v>@Tataguay</v>
      </c>
      <c r="C762" s="8" t="s">
        <v>1314</v>
      </c>
      <c r="D762" s="9" t="s">
        <v>1867</v>
      </c>
      <c r="E762" s="10" t="str">
        <f>HYPERLINK("https://twitter.com/Tataguay/status/1065631033872343041","1065631033872343041")</f>
        <v>1065631033872343041</v>
      </c>
      <c r="F762" s="16" t="s">
        <v>1869</v>
      </c>
      <c r="G762" s="11"/>
      <c r="H762" s="11"/>
      <c r="I762" s="12">
        <v>1</v>
      </c>
      <c r="J762" s="12">
        <v>0</v>
      </c>
      <c r="K762" s="13" t="str">
        <f>HYPERLINK("http://twitter.com","Twitter Web Client")</f>
        <v>Twitter Web Client</v>
      </c>
      <c r="L762" s="12">
        <v>982</v>
      </c>
      <c r="M762" s="12">
        <v>1892</v>
      </c>
      <c r="N762" s="12">
        <v>4</v>
      </c>
      <c r="O762" s="15"/>
      <c r="P762" s="6">
        <v>40478.260636574072</v>
      </c>
      <c r="Q762" s="16" t="s">
        <v>1320</v>
      </c>
      <c r="R762" s="17" t="s">
        <v>1321</v>
      </c>
      <c r="S762" s="11"/>
      <c r="T762" s="11"/>
      <c r="U762" s="10" t="str">
        <f>HYPERLINK("https://pbs.twimg.com/profile_images/914989519966998528/V5sg3EYQ.jpg","View")</f>
        <v>View</v>
      </c>
    </row>
    <row r="763" spans="1:21" ht="30.6">
      <c r="A763" s="6">
        <v>43426.319513888884</v>
      </c>
      <c r="B763" s="7" t="str">
        <f>HYPERLINK("https://twitter.com/Cambio16","@Cambio16")</f>
        <v>@Cambio16</v>
      </c>
      <c r="C763" s="8" t="s">
        <v>1563</v>
      </c>
      <c r="D763" s="9" t="s">
        <v>4763</v>
      </c>
      <c r="E763" s="10" t="str">
        <f>HYPERLINK("https://twitter.com/Cambio16/status/1065631013727084545","1065631013727084545")</f>
        <v>1065631013727084545</v>
      </c>
      <c r="F763" s="14" t="s">
        <v>4764</v>
      </c>
      <c r="G763" s="14" t="s">
        <v>4766</v>
      </c>
      <c r="H763" s="11"/>
      <c r="I763" s="12">
        <v>0</v>
      </c>
      <c r="J763" s="12">
        <v>0</v>
      </c>
      <c r="K763" s="13" t="str">
        <f>HYPERLINK("https://www.hootsuite.com","Hootsuite Inc.")</f>
        <v>Hootsuite Inc.</v>
      </c>
      <c r="L763" s="12">
        <v>17345</v>
      </c>
      <c r="M763" s="12">
        <v>765</v>
      </c>
      <c r="N763" s="12">
        <v>499</v>
      </c>
      <c r="O763" s="15"/>
      <c r="P763" s="6">
        <v>40341.117245370369</v>
      </c>
      <c r="Q763" s="16" t="s">
        <v>93</v>
      </c>
      <c r="R763" s="17" t="s">
        <v>1570</v>
      </c>
      <c r="S763" s="14" t="s">
        <v>1571</v>
      </c>
      <c r="T763" s="11"/>
      <c r="U763" s="10" t="str">
        <f>HYPERLINK("https://pbs.twimg.com/profile_images/1060221846208069632/vJfJ3_T5.jpg","View")</f>
        <v>View</v>
      </c>
    </row>
    <row r="764" spans="1:21" ht="20.399999999999999">
      <c r="A764" s="6">
        <v>43426.319363425922</v>
      </c>
      <c r="B764" s="7" t="str">
        <f>HYPERLINK("https://twitter.com/vicentescriva","@vicentescriva")</f>
        <v>@vicentescriva</v>
      </c>
      <c r="C764" s="8" t="s">
        <v>4768</v>
      </c>
      <c r="D764" s="9" t="s">
        <v>768</v>
      </c>
      <c r="E764" s="10" t="str">
        <f>HYPERLINK("https://twitter.com/vicentescriva/status/1065630959335366656","1065630959335366656")</f>
        <v>1065630959335366656</v>
      </c>
      <c r="F764" s="14" t="s">
        <v>529</v>
      </c>
      <c r="G764" s="11"/>
      <c r="H764" s="11"/>
      <c r="I764" s="12">
        <v>0</v>
      </c>
      <c r="J764" s="12">
        <v>0</v>
      </c>
      <c r="K764" s="13" t="str">
        <f>HYPERLINK("http://twitter.com","Twitter Web Client")</f>
        <v>Twitter Web Client</v>
      </c>
      <c r="L764" s="12">
        <v>158</v>
      </c>
      <c r="M764" s="12">
        <v>1311</v>
      </c>
      <c r="N764" s="12">
        <v>3</v>
      </c>
      <c r="O764" s="15"/>
      <c r="P764" s="6">
        <v>40055.371874999997</v>
      </c>
      <c r="Q764" s="16" t="s">
        <v>4770</v>
      </c>
      <c r="R764" s="19"/>
      <c r="S764" s="14" t="s">
        <v>4771</v>
      </c>
      <c r="T764" s="11"/>
      <c r="U764" s="10" t="str">
        <f>HYPERLINK("https://pbs.twimg.com/profile_images/1035236972254703616/a8U_77P0.jpg","View")</f>
        <v>View</v>
      </c>
    </row>
    <row r="765" spans="1:21" ht="51">
      <c r="A765" s="6">
        <v>43426.319340277776</v>
      </c>
      <c r="B765" s="7" t="str">
        <f>HYPERLINK("https://twitter.com/toni_mantis","@toni_mantis")</f>
        <v>@toni_mantis</v>
      </c>
      <c r="C765" s="8" t="s">
        <v>4775</v>
      </c>
      <c r="D765" s="9" t="s">
        <v>4776</v>
      </c>
      <c r="E765" s="10" t="str">
        <f>HYPERLINK("https://twitter.com/toni_mantis/status/1065630949277343744","1065630949277343744")</f>
        <v>1065630949277343744</v>
      </c>
      <c r="F765" s="14" t="s">
        <v>4778</v>
      </c>
      <c r="G765" s="11"/>
      <c r="H765" s="11"/>
      <c r="I765" s="12">
        <v>0</v>
      </c>
      <c r="J765" s="12">
        <v>0</v>
      </c>
      <c r="K765" s="13" t="str">
        <f>HYPERLINK("https://www.google.com/","Google")</f>
        <v>Google</v>
      </c>
      <c r="L765" s="12">
        <v>3066</v>
      </c>
      <c r="M765" s="12">
        <v>1937</v>
      </c>
      <c r="N765" s="12">
        <v>130</v>
      </c>
      <c r="O765" s="15"/>
      <c r="P765" s="6">
        <v>39475.075127314813</v>
      </c>
      <c r="Q765" s="16" t="s">
        <v>4781</v>
      </c>
      <c r="R765" s="17" t="s">
        <v>4782</v>
      </c>
      <c r="S765" s="14" t="s">
        <v>4783</v>
      </c>
      <c r="T765" s="11"/>
      <c r="U765" s="10" t="str">
        <f>HYPERLINK("https://pbs.twimg.com/profile_images/832696108937682944/5rKibzzf.jpg","View")</f>
        <v>View</v>
      </c>
    </row>
    <row r="766" spans="1:21" ht="40.799999999999997">
      <c r="A766" s="6">
        <v>43426.318703703699</v>
      </c>
      <c r="B766" s="7" t="str">
        <f>HYPERLINK("https://twitter.com/comotelodije","@comotelodije")</f>
        <v>@comotelodije</v>
      </c>
      <c r="C766" s="8" t="s">
        <v>1873</v>
      </c>
      <c r="D766" s="9" t="s">
        <v>1874</v>
      </c>
      <c r="E766" s="10" t="str">
        <f>HYPERLINK("https://twitter.com/comotelodije/status/1065630719618269184","1065630719618269184")</f>
        <v>1065630719618269184</v>
      </c>
      <c r="F766" s="16" t="s">
        <v>1877</v>
      </c>
      <c r="G766" s="11"/>
      <c r="H766" s="11"/>
      <c r="I766" s="12">
        <v>0</v>
      </c>
      <c r="J766" s="12">
        <v>0</v>
      </c>
      <c r="K766" s="13" t="str">
        <f>HYPERLINK("http://twitter.com","Twitter Web Client")</f>
        <v>Twitter Web Client</v>
      </c>
      <c r="L766" s="12">
        <v>67</v>
      </c>
      <c r="M766" s="12">
        <v>264</v>
      </c>
      <c r="N766" s="12">
        <v>0</v>
      </c>
      <c r="O766" s="15"/>
      <c r="P766" s="6">
        <v>40871.467465277776</v>
      </c>
      <c r="Q766" s="16" t="s">
        <v>28</v>
      </c>
      <c r="R766" s="19"/>
      <c r="S766" s="11"/>
      <c r="T766" s="11"/>
      <c r="U766" s="10" t="str">
        <f>HYPERLINK("https://pbs.twimg.com/profile_images/876852367676895235/Zuqd9LpM.jpg","View")</f>
        <v>View</v>
      </c>
    </row>
    <row r="767" spans="1:21" ht="40.799999999999997">
      <c r="A767" s="6">
        <v>43426.317083333328</v>
      </c>
      <c r="B767" s="7" t="str">
        <f>HYPERLINK("https://twitter.com/55luchando","@55luchando")</f>
        <v>@55luchando</v>
      </c>
      <c r="C767" s="8" t="s">
        <v>4788</v>
      </c>
      <c r="D767" s="9" t="s">
        <v>768</v>
      </c>
      <c r="E767" s="10" t="str">
        <f>HYPERLINK("https://twitter.com/55luchando/status/1065630131631341570","1065630131631341570")</f>
        <v>1065630131631341570</v>
      </c>
      <c r="F767" s="14" t="s">
        <v>529</v>
      </c>
      <c r="G767" s="11"/>
      <c r="H767" s="11"/>
      <c r="I767" s="12">
        <v>0</v>
      </c>
      <c r="J767" s="12">
        <v>0</v>
      </c>
      <c r="K767" s="13" t="str">
        <f>HYPERLINK("http://twitter.com/download/iphone","Twitter for iPhone")</f>
        <v>Twitter for iPhone</v>
      </c>
      <c r="L767" s="12">
        <v>136</v>
      </c>
      <c r="M767" s="12">
        <v>641</v>
      </c>
      <c r="N767" s="12">
        <v>2</v>
      </c>
      <c r="O767" s="15"/>
      <c r="P767" s="6">
        <v>41490.108923611115</v>
      </c>
      <c r="Q767" s="11"/>
      <c r="R767" s="17" t="s">
        <v>4791</v>
      </c>
      <c r="S767" s="11"/>
      <c r="T767" s="11"/>
      <c r="U767" s="10" t="str">
        <f>HYPERLINK("https://pbs.twimg.com/profile_images/678624755671572480/FOB4f5yX.jpg","View")</f>
        <v>View</v>
      </c>
    </row>
    <row r="768" spans="1:21" ht="40.799999999999997">
      <c r="A768" s="6">
        <v>43426.316331018519</v>
      </c>
      <c r="B768" s="7" t="str">
        <f>HYPERLINK("https://twitter.com/Josertrooper","@Josertrooper")</f>
        <v>@Josertrooper</v>
      </c>
      <c r="C768" s="8" t="s">
        <v>4793</v>
      </c>
      <c r="D768" s="9" t="s">
        <v>3304</v>
      </c>
      <c r="E768" s="10" t="str">
        <f>HYPERLINK("https://twitter.com/Josertrooper/status/1065629860540923904","1065629860540923904")</f>
        <v>1065629860540923904</v>
      </c>
      <c r="F768" s="11"/>
      <c r="G768" s="11"/>
      <c r="H768" s="11"/>
      <c r="I768" s="12">
        <v>1</v>
      </c>
      <c r="J768" s="12">
        <v>1</v>
      </c>
      <c r="K768" s="13" t="str">
        <f>HYPERLINK("http://twitter.com/download/android","Twitter for Android")</f>
        <v>Twitter for Android</v>
      </c>
      <c r="L768" s="12">
        <v>275</v>
      </c>
      <c r="M768" s="12">
        <v>666</v>
      </c>
      <c r="N768" s="12">
        <v>16</v>
      </c>
      <c r="O768" s="15"/>
      <c r="P768" s="6">
        <v>42044.430023148147</v>
      </c>
      <c r="Q768" s="16" t="s">
        <v>4794</v>
      </c>
      <c r="R768" s="17" t="s">
        <v>4795</v>
      </c>
      <c r="S768" s="14" t="s">
        <v>4796</v>
      </c>
      <c r="T768" s="11"/>
      <c r="U768" s="10" t="str">
        <f>HYPERLINK("https://pbs.twimg.com/profile_images/1057784203452997632/o7gOLtPd.jpg","View")</f>
        <v>View</v>
      </c>
    </row>
    <row r="769" spans="1:21" ht="30.6">
      <c r="A769" s="6">
        <v>43426.31523148148</v>
      </c>
      <c r="B769" s="7" t="str">
        <f>HYPERLINK("https://twitter.com/elvascoJuan","@elvascoJuan")</f>
        <v>@elvascoJuan</v>
      </c>
      <c r="C769" s="8" t="s">
        <v>4799</v>
      </c>
      <c r="D769" s="9" t="s">
        <v>4800</v>
      </c>
      <c r="E769" s="10" t="str">
        <f>HYPERLINK("https://twitter.com/elvascoJuan/status/1065629460781780998","1065629460781780998")</f>
        <v>1065629460781780998</v>
      </c>
      <c r="F769" s="14" t="s">
        <v>4801</v>
      </c>
      <c r="G769" s="14" t="s">
        <v>4803</v>
      </c>
      <c r="H769" s="11"/>
      <c r="I769" s="12">
        <v>0</v>
      </c>
      <c r="J769" s="12">
        <v>1</v>
      </c>
      <c r="K769" s="13" t="str">
        <f t="shared" ref="K769:K772" si="156">HYPERLINK("http://twitter.com","Twitter Web Client")</f>
        <v>Twitter Web Client</v>
      </c>
      <c r="L769" s="12">
        <v>846</v>
      </c>
      <c r="M769" s="12">
        <v>760</v>
      </c>
      <c r="N769" s="12">
        <v>7</v>
      </c>
      <c r="O769" s="15"/>
      <c r="P769" s="6">
        <v>40863.190625000003</v>
      </c>
      <c r="Q769" s="16" t="s">
        <v>4806</v>
      </c>
      <c r="R769" s="17" t="s">
        <v>4807</v>
      </c>
      <c r="S769" s="11"/>
      <c r="T769" s="11"/>
      <c r="U769" s="10" t="str">
        <f>HYPERLINK("https://pbs.twimg.com/profile_images/1023975921659858945/_sTbtfxg.jpg","View")</f>
        <v>View</v>
      </c>
    </row>
    <row r="770" spans="1:21" ht="30.6">
      <c r="A770" s="6">
        <v>43426.315162037034</v>
      </c>
      <c r="B770" s="7" t="str">
        <f>HYPERLINK("https://twitter.com/SER_Comunica","@SER_Comunica")</f>
        <v>@SER_Comunica</v>
      </c>
      <c r="C770" s="8" t="s">
        <v>779</v>
      </c>
      <c r="D770" s="9" t="s">
        <v>1878</v>
      </c>
      <c r="E770" s="10" t="str">
        <f>HYPERLINK("https://twitter.com/SER_Comunica/status/1065629437058793479","1065629437058793479")</f>
        <v>1065629437058793479</v>
      </c>
      <c r="F770" s="11"/>
      <c r="G770" s="14" t="s">
        <v>1879</v>
      </c>
      <c r="H770" s="11"/>
      <c r="I770" s="12">
        <v>0</v>
      </c>
      <c r="J770" s="12">
        <v>0</v>
      </c>
      <c r="K770" s="13" t="str">
        <f t="shared" si="156"/>
        <v>Twitter Web Client</v>
      </c>
      <c r="L770" s="12">
        <v>1699</v>
      </c>
      <c r="M770" s="12">
        <v>324</v>
      </c>
      <c r="N770" s="12">
        <v>34</v>
      </c>
      <c r="O770" s="15"/>
      <c r="P770" s="6">
        <v>41648.208101851851</v>
      </c>
      <c r="Q770" s="16" t="s">
        <v>28</v>
      </c>
      <c r="R770" s="17" t="s">
        <v>783</v>
      </c>
      <c r="S770" s="11"/>
      <c r="T770" s="11"/>
      <c r="U770" s="10" t="str">
        <f>HYPERLINK("https://pbs.twimg.com/profile_images/1048147172951293954/1Ga4FC_w.jpg","View")</f>
        <v>View</v>
      </c>
    </row>
    <row r="771" spans="1:21" ht="40.799999999999997">
      <c r="A771" s="6">
        <v>43426.312743055554</v>
      </c>
      <c r="B771" s="7" t="str">
        <f>HYPERLINK("https://twitter.com/AOM59","@AOM59")</f>
        <v>@AOM59</v>
      </c>
      <c r="C771" s="8" t="s">
        <v>4809</v>
      </c>
      <c r="D771" s="9" t="s">
        <v>4810</v>
      </c>
      <c r="E771" s="10" t="str">
        <f>HYPERLINK("https://twitter.com/AOM59/status/1065628557429354497","1065628557429354497")</f>
        <v>1065628557429354497</v>
      </c>
      <c r="F771" s="14" t="s">
        <v>529</v>
      </c>
      <c r="G771" s="11"/>
      <c r="H771" s="11"/>
      <c r="I771" s="12">
        <v>0</v>
      </c>
      <c r="J771" s="12">
        <v>0</v>
      </c>
      <c r="K771" s="13" t="str">
        <f t="shared" si="156"/>
        <v>Twitter Web Client</v>
      </c>
      <c r="L771" s="12">
        <v>768</v>
      </c>
      <c r="M771" s="12">
        <v>99</v>
      </c>
      <c r="N771" s="12">
        <v>80</v>
      </c>
      <c r="O771" s="15"/>
      <c r="P771" s="6">
        <v>40141.151203703703</v>
      </c>
      <c r="Q771" s="16" t="s">
        <v>38</v>
      </c>
      <c r="R771" s="17" t="s">
        <v>4811</v>
      </c>
      <c r="S771" s="14" t="s">
        <v>4812</v>
      </c>
      <c r="T771" s="11"/>
      <c r="U771" s="10" t="str">
        <f>HYPERLINK("https://pbs.twimg.com/profile_images/801197998277558273/Q6DM9XOG.jpg","View")</f>
        <v>View</v>
      </c>
    </row>
    <row r="772" spans="1:21" ht="40.799999999999997">
      <c r="A772" s="6">
        <v>43426.312708333338</v>
      </c>
      <c r="B772" s="7" t="str">
        <f>HYPERLINK("https://twitter.com/BernalDCastillo","@BernalDCastillo")</f>
        <v>@BernalDCastillo</v>
      </c>
      <c r="C772" s="8" t="s">
        <v>1881</v>
      </c>
      <c r="D772" s="9" t="s">
        <v>1882</v>
      </c>
      <c r="E772" s="10" t="str">
        <f>HYPERLINK("https://twitter.com/BernalDCastillo/status/1065628546004107264","1065628546004107264")</f>
        <v>1065628546004107264</v>
      </c>
      <c r="F772" s="11"/>
      <c r="G772" s="11"/>
      <c r="H772" s="11"/>
      <c r="I772" s="12">
        <v>1</v>
      </c>
      <c r="J772" s="12">
        <v>3</v>
      </c>
      <c r="K772" s="13" t="str">
        <f t="shared" si="156"/>
        <v>Twitter Web Client</v>
      </c>
      <c r="L772" s="12">
        <v>442</v>
      </c>
      <c r="M772" s="12">
        <v>329</v>
      </c>
      <c r="N772" s="12">
        <v>0</v>
      </c>
      <c r="O772" s="15"/>
      <c r="P772" s="6">
        <v>43155.603009259255</v>
      </c>
      <c r="Q772" s="11"/>
      <c r="R772" s="17" t="s">
        <v>1883</v>
      </c>
      <c r="S772" s="14" t="s">
        <v>1884</v>
      </c>
      <c r="T772" s="11"/>
      <c r="U772" s="10" t="str">
        <f>HYPERLINK("https://pbs.twimg.com/profile_images/1000822108019216385/Cw2qnTdc.jpg","View")</f>
        <v>View</v>
      </c>
    </row>
    <row r="773" spans="1:21" ht="20.399999999999999">
      <c r="A773" s="6">
        <v>43426.312106481477</v>
      </c>
      <c r="B773" s="7" t="str">
        <f>HYPERLINK("https://twitter.com/Asoc_Whatever","@Asoc_Whatever")</f>
        <v>@Asoc_Whatever</v>
      </c>
      <c r="C773" s="8" t="s">
        <v>4816</v>
      </c>
      <c r="D773" s="9" t="s">
        <v>4817</v>
      </c>
      <c r="E773" s="10" t="str">
        <f>HYPERLINK("https://twitter.com/Asoc_Whatever/status/1065628329959661569","1065628329959661569")</f>
        <v>1065628329959661569</v>
      </c>
      <c r="F773" s="11"/>
      <c r="G773" s="14" t="s">
        <v>4818</v>
      </c>
      <c r="H773" s="11"/>
      <c r="I773" s="12">
        <v>1</v>
      </c>
      <c r="J773" s="12">
        <v>5</v>
      </c>
      <c r="K773" s="13" t="str">
        <f>HYPERLINK("http://twitter.com/download/android","Twitter for Android")</f>
        <v>Twitter for Android</v>
      </c>
      <c r="L773" s="12">
        <v>156</v>
      </c>
      <c r="M773" s="12">
        <v>107</v>
      </c>
      <c r="N773" s="12">
        <v>2</v>
      </c>
      <c r="O773" s="15"/>
      <c r="P773" s="6">
        <v>41214.360092592593</v>
      </c>
      <c r="Q773" s="16" t="s">
        <v>4819</v>
      </c>
      <c r="R773" s="17" t="s">
        <v>4820</v>
      </c>
      <c r="S773" s="11"/>
      <c r="T773" s="11"/>
      <c r="U773" s="10" t="str">
        <f>HYPERLINK("https://pbs.twimg.com/profile_images/479310817989378048/ZtDfeJCY.jpeg","View")</f>
        <v>View</v>
      </c>
    </row>
    <row r="774" spans="1:21" ht="112.2">
      <c r="A774" s="6">
        <v>43426.312025462961</v>
      </c>
      <c r="B774" s="7" t="str">
        <f>HYPERLINK("https://twitter.com/FG72373327","@FG72373327")</f>
        <v>@FG72373327</v>
      </c>
      <c r="C774" s="8" t="s">
        <v>4823</v>
      </c>
      <c r="D774" s="9" t="s">
        <v>4824</v>
      </c>
      <c r="E774" s="10" t="str">
        <f>HYPERLINK("https://twitter.com/FG72373327/status/1065628299097980928","1065628299097980928")</f>
        <v>1065628299097980928</v>
      </c>
      <c r="F774" s="14" t="s">
        <v>1530</v>
      </c>
      <c r="G774" s="14" t="s">
        <v>1531</v>
      </c>
      <c r="H774" s="11"/>
      <c r="I774" s="12">
        <v>0</v>
      </c>
      <c r="J774" s="12">
        <v>0</v>
      </c>
      <c r="K774" s="13" t="str">
        <f>HYPERLINK("http://twitter.com/download/iphone","Twitter for iPhone")</f>
        <v>Twitter for iPhone</v>
      </c>
      <c r="L774" s="12">
        <v>861</v>
      </c>
      <c r="M774" s="12">
        <v>886</v>
      </c>
      <c r="N774" s="12">
        <v>6</v>
      </c>
      <c r="O774" s="15"/>
      <c r="P774" s="6">
        <v>42977.021006944444</v>
      </c>
      <c r="Q774" s="16" t="s">
        <v>87</v>
      </c>
      <c r="R774" s="19"/>
      <c r="S774" s="11"/>
      <c r="T774" s="11"/>
      <c r="U774" s="10" t="str">
        <f>HYPERLINK("https://pbs.twimg.com/profile_images/902802729009111040/RUuGyEn7.jpg","View")</f>
        <v>View</v>
      </c>
    </row>
    <row r="775" spans="1:21" ht="30.6">
      <c r="A775" s="6">
        <v>43426.31086805556</v>
      </c>
      <c r="B775" s="7" t="str">
        <f>HYPERLINK("https://twitter.com/podemoscasti","@podemoscasti")</f>
        <v>@podemoscasti</v>
      </c>
      <c r="C775" s="8" t="s">
        <v>1889</v>
      </c>
      <c r="D775" s="9" t="s">
        <v>1890</v>
      </c>
      <c r="E775" s="10" t="str">
        <f>HYPERLINK("https://twitter.com/podemoscasti/status/1065627878514192385","1065627878514192385")</f>
        <v>1065627878514192385</v>
      </c>
      <c r="F775" s="14" t="s">
        <v>96</v>
      </c>
      <c r="G775" s="11"/>
      <c r="H775" s="11"/>
      <c r="I775" s="12">
        <v>0</v>
      </c>
      <c r="J775" s="12">
        <v>1</v>
      </c>
      <c r="K775" s="13" t="str">
        <f>HYPERLINK("http://www.facebook.com/twitter","Facebook")</f>
        <v>Facebook</v>
      </c>
      <c r="L775" s="12">
        <v>643</v>
      </c>
      <c r="M775" s="12">
        <v>84</v>
      </c>
      <c r="N775" s="12">
        <v>18</v>
      </c>
      <c r="O775" s="15"/>
      <c r="P775" s="6">
        <v>41790.27244212963</v>
      </c>
      <c r="Q775" s="16" t="s">
        <v>1893</v>
      </c>
      <c r="R775" s="19"/>
      <c r="S775" s="14" t="s">
        <v>1894</v>
      </c>
      <c r="T775" s="11"/>
      <c r="U775" s="10" t="str">
        <f>HYPERLINK("https://pbs.twimg.com/profile_images/862724745116221440/l3oiDvvl.jpg","View")</f>
        <v>View</v>
      </c>
    </row>
    <row r="776" spans="1:21" ht="20.399999999999999">
      <c r="A776" s="6">
        <v>43426.308819444443</v>
      </c>
      <c r="B776" s="7" t="str">
        <f>HYPERLINK("https://twitter.com/antoniomiralle5","@antoniomiralle5")</f>
        <v>@antoniomiralle5</v>
      </c>
      <c r="C776" s="8" t="s">
        <v>4833</v>
      </c>
      <c r="D776" s="9" t="s">
        <v>768</v>
      </c>
      <c r="E776" s="10" t="str">
        <f>HYPERLINK("https://twitter.com/antoniomiralle5/status/1065627136743129094","1065627136743129094")</f>
        <v>1065627136743129094</v>
      </c>
      <c r="F776" s="14" t="s">
        <v>529</v>
      </c>
      <c r="G776" s="11"/>
      <c r="H776" s="11"/>
      <c r="I776" s="12">
        <v>1</v>
      </c>
      <c r="J776" s="12">
        <v>0</v>
      </c>
      <c r="K776" s="13" t="str">
        <f>HYPERLINK("http://twitter.com","Twitter Web Client")</f>
        <v>Twitter Web Client</v>
      </c>
      <c r="L776" s="12">
        <v>783</v>
      </c>
      <c r="M776" s="12">
        <v>2188</v>
      </c>
      <c r="N776" s="12">
        <v>15</v>
      </c>
      <c r="O776" s="15"/>
      <c r="P776" s="6">
        <v>41409.082465277781</v>
      </c>
      <c r="Q776" s="16" t="s">
        <v>4835</v>
      </c>
      <c r="R776" s="17" t="s">
        <v>4836</v>
      </c>
      <c r="S776" s="11"/>
      <c r="T776" s="11"/>
      <c r="U776" s="10" t="str">
        <f>HYPERLINK("https://pbs.twimg.com/profile_images/748139201342865408/xsEEJbY8.jpg","View")</f>
        <v>View</v>
      </c>
    </row>
    <row r="777" spans="1:21" ht="40.799999999999997">
      <c r="A777" s="6">
        <v>43426.307997685188</v>
      </c>
      <c r="B777" s="7" t="str">
        <f>HYPERLINK("https://twitter.com/Davellanedar","@Davellanedar")</f>
        <v>@Davellanedar</v>
      </c>
      <c r="C777" s="8" t="s">
        <v>4837</v>
      </c>
      <c r="D777" s="9" t="s">
        <v>4838</v>
      </c>
      <c r="E777" s="10" t="str">
        <f>HYPERLINK("https://twitter.com/Davellanedar/status/1065626837961895938","1065626837961895938")</f>
        <v>1065626837961895938</v>
      </c>
      <c r="F777" s="14" t="s">
        <v>1316</v>
      </c>
      <c r="G777" s="11"/>
      <c r="H777" s="11"/>
      <c r="I777" s="12">
        <v>0</v>
      </c>
      <c r="J777" s="12">
        <v>0</v>
      </c>
      <c r="K777" s="13" t="str">
        <f>HYPERLINK("http://twitter.com/download/android","Twitter for Android")</f>
        <v>Twitter for Android</v>
      </c>
      <c r="L777" s="12">
        <v>21471</v>
      </c>
      <c r="M777" s="12">
        <v>2711</v>
      </c>
      <c r="N777" s="12">
        <v>145</v>
      </c>
      <c r="O777" s="15"/>
      <c r="P777" s="6">
        <v>41822.139861111107</v>
      </c>
      <c r="Q777" s="16" t="s">
        <v>2352</v>
      </c>
      <c r="R777" s="17" t="s">
        <v>4842</v>
      </c>
      <c r="S777" s="11"/>
      <c r="T777" s="11"/>
      <c r="U777" s="10" t="str">
        <f>HYPERLINK("https://pbs.twimg.com/profile_images/991332819740909568/g5Inwphn.jpg","View")</f>
        <v>View</v>
      </c>
    </row>
    <row r="778" spans="1:21" ht="40.799999999999997">
      <c r="A778" s="6">
        <v>43426.30777777778</v>
      </c>
      <c r="B778" s="7" t="str">
        <f>HYPERLINK("https://twitter.com/mipsicoanalisis","@mipsicoanalisis")</f>
        <v>@mipsicoanalisis</v>
      </c>
      <c r="C778" s="8" t="s">
        <v>4843</v>
      </c>
      <c r="D778" s="9" t="s">
        <v>4844</v>
      </c>
      <c r="E778" s="10" t="str">
        <f>HYPERLINK("https://twitter.com/mipsicoanalisis/status/1065626760535048192","1065626760535048192")</f>
        <v>1065626760535048192</v>
      </c>
      <c r="F778" s="16" t="s">
        <v>4847</v>
      </c>
      <c r="G778" s="11"/>
      <c r="H778" s="11"/>
      <c r="I778" s="12">
        <v>0</v>
      </c>
      <c r="J778" s="12">
        <v>0</v>
      </c>
      <c r="K778" s="13" t="str">
        <f>HYPERLINK("https://onloft.com/tweetlogix","Tweetlogix")</f>
        <v>Tweetlogix</v>
      </c>
      <c r="L778" s="12">
        <v>1802</v>
      </c>
      <c r="M778" s="12">
        <v>1104</v>
      </c>
      <c r="N778" s="12">
        <v>51</v>
      </c>
      <c r="O778" s="15"/>
      <c r="P778" s="6">
        <v>40762.601481481484</v>
      </c>
      <c r="Q778" s="16" t="s">
        <v>4849</v>
      </c>
      <c r="R778" s="17" t="s">
        <v>4851</v>
      </c>
      <c r="S778" s="11"/>
      <c r="T778" s="11"/>
      <c r="U778" s="10" t="str">
        <f>HYPERLINK("https://pbs.twimg.com/profile_images/1034073519531929601/a8tt48ag.jpg","View")</f>
        <v>View</v>
      </c>
    </row>
    <row r="779" spans="1:21" ht="51">
      <c r="A779" s="6">
        <v>43426.305138888885</v>
      </c>
      <c r="B779" s="7" t="str">
        <f>HYPERLINK("https://twitter.com/Carol21_A","@Carol21_A")</f>
        <v>@Carol21_A</v>
      </c>
      <c r="C779" s="8" t="s">
        <v>1899</v>
      </c>
      <c r="D779" s="9" t="s">
        <v>1900</v>
      </c>
      <c r="E779" s="10" t="str">
        <f>HYPERLINK("https://twitter.com/Carol21_A/status/1065625802346323968","1065625802346323968")</f>
        <v>1065625802346323968</v>
      </c>
      <c r="F779" s="11"/>
      <c r="G779" s="11"/>
      <c r="H779" s="11"/>
      <c r="I779" s="12">
        <v>0</v>
      </c>
      <c r="J779" s="12">
        <v>1</v>
      </c>
      <c r="K779" s="13" t="str">
        <f>HYPERLINK("http://twitter.com/download/android","Twitter for Android")</f>
        <v>Twitter for Android</v>
      </c>
      <c r="L779" s="12">
        <v>106</v>
      </c>
      <c r="M779" s="12">
        <v>131</v>
      </c>
      <c r="N779" s="12">
        <v>0</v>
      </c>
      <c r="O779" s="15"/>
      <c r="P779" s="6">
        <v>42773.608414351853</v>
      </c>
      <c r="Q779" s="16" t="s">
        <v>53</v>
      </c>
      <c r="R779" s="17" t="s">
        <v>1903</v>
      </c>
      <c r="S779" s="11"/>
      <c r="T779" s="11"/>
      <c r="U779" s="10" t="str">
        <f>HYPERLINK("https://pbs.twimg.com/profile_images/923001827876012032/vUY2YGKh.jpg","View")</f>
        <v>View</v>
      </c>
    </row>
    <row r="780" spans="1:21" ht="51">
      <c r="A780" s="6">
        <v>43426.304224537038</v>
      </c>
      <c r="B780" s="7" t="str">
        <f>HYPERLINK("https://twitter.com/yosoynaranjito_","@yosoynaranjito_")</f>
        <v>@yosoynaranjito_</v>
      </c>
      <c r="C780" s="8" t="s">
        <v>4855</v>
      </c>
      <c r="D780" s="9" t="s">
        <v>4856</v>
      </c>
      <c r="E780" s="10" t="str">
        <f>HYPERLINK("https://twitter.com/yosoynaranjito_/status/1065625471814111233","1065625471814111233")</f>
        <v>1065625471814111233</v>
      </c>
      <c r="F780" s="11"/>
      <c r="G780" s="14" t="s">
        <v>4857</v>
      </c>
      <c r="H780" s="11"/>
      <c r="I780" s="12">
        <v>82</v>
      </c>
      <c r="J780" s="12">
        <v>127</v>
      </c>
      <c r="K780" s="13" t="str">
        <f>HYPERLINK("http://twitter.com/download/iphone","Twitter for iPhone")</f>
        <v>Twitter for iPhone</v>
      </c>
      <c r="L780" s="12">
        <v>22148</v>
      </c>
      <c r="M780" s="12">
        <v>20130</v>
      </c>
      <c r="N780" s="12">
        <v>135</v>
      </c>
      <c r="O780" s="15"/>
      <c r="P780" s="6">
        <v>42301.329398148147</v>
      </c>
      <c r="Q780" s="16" t="s">
        <v>4860</v>
      </c>
      <c r="R780" s="17" t="s">
        <v>4861</v>
      </c>
      <c r="S780" s="14" t="s">
        <v>4862</v>
      </c>
      <c r="T780" s="11"/>
      <c r="U780" s="10" t="str">
        <f>HYPERLINK("https://pbs.twimg.com/profile_images/1064258315931258881/2mY8b8BQ.jpg","View")</f>
        <v>View</v>
      </c>
    </row>
    <row r="781" spans="1:21" ht="30.6">
      <c r="A781" s="6">
        <v>43426.302094907413</v>
      </c>
      <c r="B781" s="7" t="str">
        <f>HYPERLINK("https://twitter.com/DiegoFeliu","@DiegoFeliu")</f>
        <v>@DiegoFeliu</v>
      </c>
      <c r="C781" s="8" t="s">
        <v>4865</v>
      </c>
      <c r="D781" s="9" t="s">
        <v>4866</v>
      </c>
      <c r="E781" s="10" t="str">
        <f>HYPERLINK("https://twitter.com/DiegoFeliu/status/1065624700657766401","1065624700657766401")</f>
        <v>1065624700657766401</v>
      </c>
      <c r="F781" s="11"/>
      <c r="G781" s="11"/>
      <c r="H781" s="11"/>
      <c r="I781" s="12">
        <v>0</v>
      </c>
      <c r="J781" s="12">
        <v>0</v>
      </c>
      <c r="K781" s="13" t="str">
        <f>HYPERLINK("http://www.facebook.com/twitter","Facebook")</f>
        <v>Facebook</v>
      </c>
      <c r="L781" s="12">
        <v>143</v>
      </c>
      <c r="M781" s="12">
        <v>39</v>
      </c>
      <c r="N781" s="12">
        <v>9</v>
      </c>
      <c r="O781" s="15"/>
      <c r="P781" s="6">
        <v>40622.306770833333</v>
      </c>
      <c r="Q781" s="16" t="s">
        <v>28</v>
      </c>
      <c r="R781" s="17" t="s">
        <v>4868</v>
      </c>
      <c r="S781" s="14" t="s">
        <v>4869</v>
      </c>
      <c r="T781" s="11"/>
      <c r="U781" s="10" t="str">
        <f>HYPERLINK("https://pbs.twimg.com/profile_images/1280781971/Maaliwalas_Turquia_y_Grecia_2008_000.jpg","View")</f>
        <v>View</v>
      </c>
    </row>
    <row r="782" spans="1:21" ht="40.799999999999997">
      <c r="A782" s="6">
        <v>43426.300995370373</v>
      </c>
      <c r="B782" s="7" t="str">
        <f>HYPERLINK("https://twitter.com/i_roman","@i_roman")</f>
        <v>@i_roman</v>
      </c>
      <c r="C782" s="8" t="s">
        <v>4870</v>
      </c>
      <c r="D782" s="9" t="s">
        <v>4871</v>
      </c>
      <c r="E782" s="10" t="str">
        <f>HYPERLINK("https://twitter.com/i_roman/status/1065624299804000256","1065624299804000256")</f>
        <v>1065624299804000256</v>
      </c>
      <c r="F782" s="14" t="s">
        <v>4874</v>
      </c>
      <c r="G782" s="11"/>
      <c r="H782" s="11"/>
      <c r="I782" s="12">
        <v>0</v>
      </c>
      <c r="J782" s="12">
        <v>0</v>
      </c>
      <c r="K782" s="13" t="str">
        <f>HYPERLINK("http://twitter.com/download/android","Twitter for Android")</f>
        <v>Twitter for Android</v>
      </c>
      <c r="L782" s="12">
        <v>6675</v>
      </c>
      <c r="M782" s="12">
        <v>6012</v>
      </c>
      <c r="N782" s="12">
        <v>204</v>
      </c>
      <c r="O782" s="15"/>
      <c r="P782" s="6">
        <v>40428.609907407408</v>
      </c>
      <c r="Q782" s="16" t="s">
        <v>4876</v>
      </c>
      <c r="R782" s="17" t="s">
        <v>4877</v>
      </c>
      <c r="S782" s="14" t="s">
        <v>4878</v>
      </c>
      <c r="T782" s="11"/>
      <c r="U782" s="10" t="str">
        <f>HYPERLINK("https://pbs.twimg.com/profile_images/734369143122735104/JVeDwS47.jpg","View")</f>
        <v>View</v>
      </c>
    </row>
    <row r="783" spans="1:21" ht="51">
      <c r="A783" s="6">
        <v>43426.298946759256</v>
      </c>
      <c r="B783" s="7" t="str">
        <f>HYPERLINK("https://twitter.com/CasviFactory","@CasviFactory")</f>
        <v>@CasviFactory</v>
      </c>
      <c r="C783" s="8" t="s">
        <v>4879</v>
      </c>
      <c r="D783" s="9" t="s">
        <v>4880</v>
      </c>
      <c r="E783" s="10" t="str">
        <f>HYPERLINK("https://twitter.com/CasviFactory/status/1065623558854975488","1065623558854975488")</f>
        <v>1065623558854975488</v>
      </c>
      <c r="F783" s="11"/>
      <c r="G783" s="14" t="s">
        <v>4881</v>
      </c>
      <c r="H783" s="11"/>
      <c r="I783" s="12">
        <v>4</v>
      </c>
      <c r="J783" s="12">
        <v>2</v>
      </c>
      <c r="K783" s="13" t="str">
        <f t="shared" ref="K783:K784" si="157">HYPERLINK("http://twitter.com","Twitter Web Client")</f>
        <v>Twitter Web Client</v>
      </c>
      <c r="L783" s="12">
        <v>11656</v>
      </c>
      <c r="M783" s="12">
        <v>11660</v>
      </c>
      <c r="N783" s="12">
        <v>58</v>
      </c>
      <c r="O783" s="15"/>
      <c r="P783" s="6">
        <v>42307.523252314815</v>
      </c>
      <c r="Q783" s="11"/>
      <c r="R783" s="17" t="s">
        <v>4884</v>
      </c>
      <c r="S783" s="11"/>
      <c r="T783" s="11"/>
      <c r="U783" s="10" t="str">
        <f>HYPERLINK("https://pbs.twimg.com/profile_images/660182872352014336/xE-5zixN.jpg","View")</f>
        <v>View</v>
      </c>
    </row>
    <row r="784" spans="1:21" ht="40.799999999999997">
      <c r="A784" s="6">
        <v>43426.298402777778</v>
      </c>
      <c r="B784" s="7" t="str">
        <f>HYPERLINK("https://twitter.com/JodemosCastro","@JodemosCastro")</f>
        <v>@JodemosCastro</v>
      </c>
      <c r="C784" s="8" t="s">
        <v>4888</v>
      </c>
      <c r="D784" s="9" t="s">
        <v>4889</v>
      </c>
      <c r="E784" s="10" t="str">
        <f>HYPERLINK("https://twitter.com/JodemosCastro/status/1065623362972647424","1065623362972647424")</f>
        <v>1065623362972647424</v>
      </c>
      <c r="F784" s="14" t="s">
        <v>4890</v>
      </c>
      <c r="G784" s="11"/>
      <c r="H784" s="11"/>
      <c r="I784" s="12">
        <v>0</v>
      </c>
      <c r="J784" s="12">
        <v>0</v>
      </c>
      <c r="K784" s="13" t="str">
        <f t="shared" si="157"/>
        <v>Twitter Web Client</v>
      </c>
      <c r="L784" s="12">
        <v>303</v>
      </c>
      <c r="M784" s="12">
        <v>758</v>
      </c>
      <c r="N784" s="12">
        <v>1</v>
      </c>
      <c r="O784" s="15"/>
      <c r="P784" s="6">
        <v>42785.642002314809</v>
      </c>
      <c r="Q784" s="16" t="s">
        <v>4893</v>
      </c>
      <c r="R784" s="17" t="s">
        <v>4894</v>
      </c>
      <c r="S784" s="14" t="s">
        <v>4896</v>
      </c>
      <c r="T784" s="11"/>
      <c r="U784" s="10" t="str">
        <f>HYPERLINK("https://pbs.twimg.com/profile_images/833458161604501505/VMDhc_Ar.jpg","View")</f>
        <v>View</v>
      </c>
    </row>
    <row r="785" spans="1:21" ht="51">
      <c r="A785" s="6">
        <v>43426.297465277778</v>
      </c>
      <c r="B785" s="7" t="str">
        <f>HYPERLINK("https://twitter.com/Julio_Rodr_","@Julio_Rodr_")</f>
        <v>@Julio_Rodr_</v>
      </c>
      <c r="C785" s="8" t="s">
        <v>1906</v>
      </c>
      <c r="D785" s="9" t="s">
        <v>1907</v>
      </c>
      <c r="E785" s="10" t="str">
        <f>HYPERLINK("https://twitter.com/Julio_Rodr_/status/1065623022835503111","1065623022835503111")</f>
        <v>1065623022835503111</v>
      </c>
      <c r="F785" s="16" t="s">
        <v>1693</v>
      </c>
      <c r="G785" s="11"/>
      <c r="H785" s="11"/>
      <c r="I785" s="12">
        <v>286</v>
      </c>
      <c r="J785" s="12">
        <v>445</v>
      </c>
      <c r="K785" s="13" t="str">
        <f>HYPERLINK("https://about.twitter.com/products/tweetdeck","TweetDeck")</f>
        <v>TweetDeck</v>
      </c>
      <c r="L785" s="12">
        <v>38461</v>
      </c>
      <c r="M785" s="12">
        <v>1198</v>
      </c>
      <c r="N785" s="12">
        <v>337</v>
      </c>
      <c r="O785" s="15"/>
      <c r="P785" s="6">
        <v>42313.177465277782</v>
      </c>
      <c r="Q785" s="16" t="s">
        <v>87</v>
      </c>
      <c r="R785" s="17" t="s">
        <v>1909</v>
      </c>
      <c r="S785" s="14" t="s">
        <v>1910</v>
      </c>
      <c r="T785" s="11"/>
      <c r="U785" s="10" t="str">
        <f>HYPERLINK("https://pbs.twimg.com/profile_images/945995206394105856/cP5KsLXM.jpg","View")</f>
        <v>View</v>
      </c>
    </row>
    <row r="786" spans="1:21" ht="40.799999999999997">
      <c r="A786" s="6">
        <v>43426.297280092593</v>
      </c>
      <c r="B786" s="7" t="str">
        <f>HYPERLINK("https://twitter.com/PdeSamos","@PdeSamos")</f>
        <v>@PdeSamos</v>
      </c>
      <c r="C786" s="8" t="s">
        <v>3877</v>
      </c>
      <c r="D786" s="9" t="s">
        <v>4901</v>
      </c>
      <c r="E786" s="10" t="str">
        <f>HYPERLINK("https://twitter.com/PdeSamos/status/1065622954061545474","1065622954061545474")</f>
        <v>1065622954061545474</v>
      </c>
      <c r="F786" s="14" t="s">
        <v>4902</v>
      </c>
      <c r="G786" s="11"/>
      <c r="H786" s="11"/>
      <c r="I786" s="12">
        <v>1</v>
      </c>
      <c r="J786" s="12">
        <v>1</v>
      </c>
      <c r="K786" s="13" t="str">
        <f>HYPERLINK("http://republico.ddns.net","App Libertad PdeSamos")</f>
        <v>App Libertad PdeSamos</v>
      </c>
      <c r="L786" s="12">
        <v>5283</v>
      </c>
      <c r="M786" s="12">
        <v>5301</v>
      </c>
      <c r="N786" s="12">
        <v>12</v>
      </c>
      <c r="O786" s="15"/>
      <c r="P786" s="6">
        <v>42889.445567129631</v>
      </c>
      <c r="Q786" s="16" t="s">
        <v>3881</v>
      </c>
      <c r="R786" s="17" t="s">
        <v>3882</v>
      </c>
      <c r="S786" s="11"/>
      <c r="T786" s="11"/>
      <c r="U786" s="10" t="str">
        <f>HYPERLINK("https://pbs.twimg.com/profile_images/871063742003511296/xK2IYbrO.jpg","View")</f>
        <v>View</v>
      </c>
    </row>
    <row r="787" spans="1:21" ht="20.399999999999999">
      <c r="A787" s="6">
        <v>43426.295856481476</v>
      </c>
      <c r="B787" s="7" t="str">
        <f>HYPERLINK("https://twitter.com/jrtorices","@jrtorices")</f>
        <v>@jrtorices</v>
      </c>
      <c r="C787" s="8" t="s">
        <v>1911</v>
      </c>
      <c r="D787" s="9" t="s">
        <v>1912</v>
      </c>
      <c r="E787" s="10" t="str">
        <f>HYPERLINK("https://twitter.com/jrtorices/status/1065622437692358657","1065622437692358657")</f>
        <v>1065622437692358657</v>
      </c>
      <c r="F787" s="14" t="s">
        <v>1913</v>
      </c>
      <c r="G787" s="11"/>
      <c r="H787" s="11"/>
      <c r="I787" s="12">
        <v>1</v>
      </c>
      <c r="J787" s="12">
        <v>0</v>
      </c>
      <c r="K787" s="13" t="str">
        <f>HYPERLINK("http://twitter.com","Twitter Web Client")</f>
        <v>Twitter Web Client</v>
      </c>
      <c r="L787" s="12">
        <v>67</v>
      </c>
      <c r="M787" s="12">
        <v>151</v>
      </c>
      <c r="N787" s="12">
        <v>0</v>
      </c>
      <c r="O787" s="15"/>
      <c r="P787" s="6">
        <v>41360.22451388889</v>
      </c>
      <c r="Q787" s="16" t="s">
        <v>1914</v>
      </c>
      <c r="R787" s="17" t="s">
        <v>1915</v>
      </c>
      <c r="S787" s="14" t="s">
        <v>1916</v>
      </c>
      <c r="T787" s="11"/>
      <c r="U787" s="10" t="str">
        <f>HYPERLINK("https://pbs.twimg.com/profile_images/1064856672508788737/rwoCsxlk.jpg","View")</f>
        <v>View</v>
      </c>
    </row>
    <row r="788" spans="1:21" ht="71.400000000000006">
      <c r="A788" s="6">
        <v>43426.295706018514</v>
      </c>
      <c r="B788" s="7" t="str">
        <f>HYPERLINK("https://twitter.com/XLaki","@XLaki")</f>
        <v>@XLaki</v>
      </c>
      <c r="C788" s="8" t="s">
        <v>1917</v>
      </c>
      <c r="D788" s="9" t="s">
        <v>1918</v>
      </c>
      <c r="E788" s="10" t="str">
        <f>HYPERLINK("https://twitter.com/XLaki/status/1065622385376796672","1065622385376796672")</f>
        <v>1065622385376796672</v>
      </c>
      <c r="F788" s="14" t="s">
        <v>1117</v>
      </c>
      <c r="G788" s="14" t="s">
        <v>1118</v>
      </c>
      <c r="H788" s="11"/>
      <c r="I788" s="12">
        <v>1</v>
      </c>
      <c r="J788" s="12">
        <v>0</v>
      </c>
      <c r="K788" s="13" t="str">
        <f>HYPERLINK("http://twitter.com/download/android","Twitter for Android")</f>
        <v>Twitter for Android</v>
      </c>
      <c r="L788" s="12">
        <v>921</v>
      </c>
      <c r="M788" s="12">
        <v>2713</v>
      </c>
      <c r="N788" s="12">
        <v>3</v>
      </c>
      <c r="O788" s="15"/>
      <c r="P788" s="6">
        <v>40684.26158564815</v>
      </c>
      <c r="Q788" s="16" t="s">
        <v>1919</v>
      </c>
      <c r="R788" s="17" t="s">
        <v>1920</v>
      </c>
      <c r="S788" s="11"/>
      <c r="T788" s="11"/>
      <c r="U788" s="10" t="str">
        <f>HYPERLINK("https://pbs.twimg.com/profile_images/979726395566903296/fkTRtprs.jpg","View")</f>
        <v>View</v>
      </c>
    </row>
    <row r="789" spans="1:21" ht="102">
      <c r="A789" s="6">
        <v>43426.293472222227</v>
      </c>
      <c r="B789" s="7" t="str">
        <f>HYPERLINK("https://twitter.com/jotaele65","@jotaele65")</f>
        <v>@jotaele65</v>
      </c>
      <c r="C789" s="8" t="s">
        <v>1922</v>
      </c>
      <c r="D789" s="9" t="s">
        <v>1923</v>
      </c>
      <c r="E789" s="10" t="str">
        <f>HYPERLINK("https://twitter.com/jotaele65/status/1065621577104936962","1065621577104936962")</f>
        <v>1065621577104936962</v>
      </c>
      <c r="F789" s="16" t="s">
        <v>1925</v>
      </c>
      <c r="G789" s="11"/>
      <c r="H789" s="11"/>
      <c r="I789" s="12">
        <v>1</v>
      </c>
      <c r="J789" s="12">
        <v>0</v>
      </c>
      <c r="K789" s="13" t="str">
        <f>HYPERLINK("http://twitter.com/download/iphone","Twitter for iPhone")</f>
        <v>Twitter for iPhone</v>
      </c>
      <c r="L789" s="12">
        <v>3815</v>
      </c>
      <c r="M789" s="12">
        <v>1872</v>
      </c>
      <c r="N789" s="12">
        <v>9</v>
      </c>
      <c r="O789" s="15"/>
      <c r="P789" s="6">
        <v>40426.993634259255</v>
      </c>
      <c r="Q789" s="11"/>
      <c r="R789" s="17" t="s">
        <v>1926</v>
      </c>
      <c r="S789" s="11"/>
      <c r="T789" s="11"/>
      <c r="U789" s="10" t="str">
        <f>HYPERLINK("https://pbs.twimg.com/profile_images/1050459156371660800/bjQCsRmX.jpg","View")</f>
        <v>View</v>
      </c>
    </row>
    <row r="790" spans="1:21" ht="30.6">
      <c r="A790" s="6">
        <v>43426.290462962963</v>
      </c>
      <c r="B790" s="7" t="str">
        <f>HYPERLINK("https://twitter.com/19722791es","@19722791es")</f>
        <v>@19722791es</v>
      </c>
      <c r="C790" s="8" t="s">
        <v>4915</v>
      </c>
      <c r="D790" s="9" t="s">
        <v>4916</v>
      </c>
      <c r="E790" s="10" t="str">
        <f>HYPERLINK("https://twitter.com/19722791es/status/1065620483876536322","1065620483876536322")</f>
        <v>1065620483876536322</v>
      </c>
      <c r="F790" s="11"/>
      <c r="G790" s="11"/>
      <c r="H790" s="11"/>
      <c r="I790" s="12">
        <v>6</v>
      </c>
      <c r="J790" s="12">
        <v>12</v>
      </c>
      <c r="K790" s="13" t="str">
        <f t="shared" ref="K790:K791" si="158">HYPERLINK("http://twitter.com","Twitter Web Client")</f>
        <v>Twitter Web Client</v>
      </c>
      <c r="L790" s="12">
        <v>736</v>
      </c>
      <c r="M790" s="12">
        <v>655</v>
      </c>
      <c r="N790" s="12">
        <v>6</v>
      </c>
      <c r="O790" s="15"/>
      <c r="P790" s="6">
        <v>41718.370497685188</v>
      </c>
      <c r="Q790" s="16" t="s">
        <v>4917</v>
      </c>
      <c r="R790" s="19"/>
      <c r="S790" s="11"/>
      <c r="T790" s="11"/>
      <c r="U790" s="10" t="str">
        <f>HYPERLINK("https://pbs.twimg.com/profile_images/1061407129758765056/64HT7XUh.jpg","View")</f>
        <v>View</v>
      </c>
    </row>
    <row r="791" spans="1:21" ht="40.799999999999997">
      <c r="A791" s="6">
        <v>43426.290208333332</v>
      </c>
      <c r="B791" s="7" t="str">
        <f>HYPERLINK("https://twitter.com/ManuelO99513794","@ManuelO99513794")</f>
        <v>@ManuelO99513794</v>
      </c>
      <c r="C791" s="8" t="s">
        <v>4920</v>
      </c>
      <c r="D791" s="9" t="s">
        <v>4921</v>
      </c>
      <c r="E791" s="10" t="str">
        <f>HYPERLINK("https://twitter.com/ManuelO99513794/status/1065620392767819776","1065620392767819776")</f>
        <v>1065620392767819776</v>
      </c>
      <c r="F791" s="11"/>
      <c r="G791" s="11"/>
      <c r="H791" s="11"/>
      <c r="I791" s="12">
        <v>0</v>
      </c>
      <c r="J791" s="12">
        <v>0</v>
      </c>
      <c r="K791" s="13" t="str">
        <f t="shared" si="158"/>
        <v>Twitter Web Client</v>
      </c>
      <c r="L791" s="12">
        <v>23</v>
      </c>
      <c r="M791" s="12">
        <v>55</v>
      </c>
      <c r="N791" s="12">
        <v>0</v>
      </c>
      <c r="O791" s="15"/>
      <c r="P791" s="6">
        <v>43409.10125</v>
      </c>
      <c r="Q791" s="16" t="s">
        <v>4923</v>
      </c>
      <c r="R791" s="17" t="s">
        <v>4924</v>
      </c>
      <c r="S791" s="11"/>
      <c r="T791" s="11"/>
      <c r="U791" s="10" t="str">
        <f>HYPERLINK("https://pbs.twimg.com/profile_images/1064197500796628992/tABTdshe.jpg","View")</f>
        <v>View</v>
      </c>
    </row>
    <row r="792" spans="1:21" ht="30.6">
      <c r="A792" s="6">
        <v>43426.290104166663</v>
      </c>
      <c r="B792" s="7" t="str">
        <f>HYPERLINK("https://twitter.com/lixadne","@lixadne")</f>
        <v>@lixadne</v>
      </c>
      <c r="C792" s="8" t="s">
        <v>4925</v>
      </c>
      <c r="D792" s="9" t="s">
        <v>3304</v>
      </c>
      <c r="E792" s="10" t="str">
        <f>HYPERLINK("https://twitter.com/lixadne/status/1065620353735696385","1065620353735696385")</f>
        <v>1065620353735696385</v>
      </c>
      <c r="F792" s="11"/>
      <c r="G792" s="11"/>
      <c r="H792" s="11"/>
      <c r="I792" s="12">
        <v>1</v>
      </c>
      <c r="J792" s="12">
        <v>2</v>
      </c>
      <c r="K792" s="13" t="str">
        <f>HYPERLINK("http://twitter.com/download/android","Twitter for Android")</f>
        <v>Twitter for Android</v>
      </c>
      <c r="L792" s="12">
        <v>688</v>
      </c>
      <c r="M792" s="12">
        <v>435</v>
      </c>
      <c r="N792" s="12">
        <v>8</v>
      </c>
      <c r="O792" s="15"/>
      <c r="P792" s="6">
        <v>41538.389131944445</v>
      </c>
      <c r="Q792" s="16" t="s">
        <v>1100</v>
      </c>
      <c r="R792" s="17" t="s">
        <v>4926</v>
      </c>
      <c r="S792" s="11"/>
      <c r="T792" s="11"/>
      <c r="U792" s="10" t="str">
        <f>HYPERLINK("https://pbs.twimg.com/profile_images/1027676646269231104/ZmYrGP73.jpg","View")</f>
        <v>View</v>
      </c>
    </row>
    <row r="793" spans="1:21" ht="30.6">
      <c r="A793" s="6">
        <v>43426.289687500001</v>
      </c>
      <c r="B793" s="7" t="str">
        <f>HYPERLINK("https://twitter.com/Eduuuleon","@Eduuuleon")</f>
        <v>@Eduuuleon</v>
      </c>
      <c r="C793" s="8" t="s">
        <v>4927</v>
      </c>
      <c r="D793" s="9" t="s">
        <v>3304</v>
      </c>
      <c r="E793" s="10" t="str">
        <f>HYPERLINK("https://twitter.com/Eduuuleon/status/1065620204942753792","1065620204942753792")</f>
        <v>1065620204942753792</v>
      </c>
      <c r="F793" s="11"/>
      <c r="G793" s="11"/>
      <c r="H793" s="11"/>
      <c r="I793" s="12">
        <v>0</v>
      </c>
      <c r="J793" s="12">
        <v>0</v>
      </c>
      <c r="K793" s="13" t="str">
        <f>HYPERLINK("http://twitter.com/download/iphone","Twitter for iPhone")</f>
        <v>Twitter for iPhone</v>
      </c>
      <c r="L793" s="12">
        <v>51</v>
      </c>
      <c r="M793" s="12">
        <v>159</v>
      </c>
      <c r="N793" s="12">
        <v>0</v>
      </c>
      <c r="O793" s="15"/>
      <c r="P793" s="6">
        <v>43331.740428240737</v>
      </c>
      <c r="Q793" s="16" t="s">
        <v>4929</v>
      </c>
      <c r="R793" s="17" t="s">
        <v>4930</v>
      </c>
      <c r="S793" s="14" t="s">
        <v>4931</v>
      </c>
      <c r="T793" s="11"/>
      <c r="U793" s="10" t="str">
        <f>HYPERLINK("https://pbs.twimg.com/profile_images/1047222011594981376/TRejEH3N.jpg","View")</f>
        <v>View</v>
      </c>
    </row>
    <row r="794" spans="1:21" ht="51">
      <c r="A794" s="6">
        <v>43426.289560185185</v>
      </c>
      <c r="B794" s="7" t="str">
        <f>HYPERLINK("https://twitter.com/jitorreblanca","@jitorreblanca")</f>
        <v>@jitorreblanca</v>
      </c>
      <c r="C794" s="8" t="s">
        <v>1928</v>
      </c>
      <c r="D794" s="9" t="s">
        <v>1929</v>
      </c>
      <c r="E794" s="10" t="str">
        <f>HYPERLINK("https://twitter.com/jitorreblanca/status/1065620157656109058","1065620157656109058")</f>
        <v>1065620157656109058</v>
      </c>
      <c r="F794" s="11"/>
      <c r="G794" s="14" t="s">
        <v>749</v>
      </c>
      <c r="H794" s="11"/>
      <c r="I794" s="12">
        <v>2146</v>
      </c>
      <c r="J794" s="12">
        <v>3144</v>
      </c>
      <c r="K794" s="13" t="str">
        <f t="shared" ref="K794:K795" si="159">HYPERLINK("http://twitter.com","Twitter Web Client")</f>
        <v>Twitter Web Client</v>
      </c>
      <c r="L794" s="12">
        <v>24515</v>
      </c>
      <c r="M794" s="12">
        <v>1384</v>
      </c>
      <c r="N794" s="12">
        <v>819</v>
      </c>
      <c r="O794" s="18" t="s">
        <v>52</v>
      </c>
      <c r="P794" s="6">
        <v>40360.125324074077</v>
      </c>
      <c r="Q794" s="16" t="s">
        <v>87</v>
      </c>
      <c r="R794" s="17" t="s">
        <v>1931</v>
      </c>
      <c r="S794" s="11"/>
      <c r="T794" s="11"/>
      <c r="U794" s="10" t="str">
        <f>HYPERLINK("https://pbs.twimg.com/profile_images/739576276390940672/io9VoOXJ.jpg","View")</f>
        <v>View</v>
      </c>
    </row>
    <row r="795" spans="1:21" ht="51">
      <c r="A795" s="6">
        <v>43426.289085648154</v>
      </c>
      <c r="B795" s="7" t="str">
        <f>HYPERLINK("https://twitter.com/oscardiazdliano","@oscardiazdliano")</f>
        <v>@oscardiazdliano</v>
      </c>
      <c r="C795" s="8" t="s">
        <v>1932</v>
      </c>
      <c r="D795" s="9" t="s">
        <v>1934</v>
      </c>
      <c r="E795" s="10" t="str">
        <f>HYPERLINK("https://twitter.com/oscardiazdliano/status/1065619986109091840","1065619986109091840")</f>
        <v>1065619986109091840</v>
      </c>
      <c r="F795" s="16" t="s">
        <v>1936</v>
      </c>
      <c r="G795" s="11"/>
      <c r="H795" s="11"/>
      <c r="I795" s="12">
        <v>0</v>
      </c>
      <c r="J795" s="12">
        <v>0</v>
      </c>
      <c r="K795" s="13" t="str">
        <f t="shared" si="159"/>
        <v>Twitter Web Client</v>
      </c>
      <c r="L795" s="12">
        <v>714</v>
      </c>
      <c r="M795" s="12">
        <v>411</v>
      </c>
      <c r="N795" s="12">
        <v>40</v>
      </c>
      <c r="O795" s="15"/>
      <c r="P795" s="6">
        <v>40524.43787037037</v>
      </c>
      <c r="Q795" s="16" t="s">
        <v>38</v>
      </c>
      <c r="R795" s="17" t="s">
        <v>1938</v>
      </c>
      <c r="S795" s="11"/>
      <c r="T795" s="11"/>
      <c r="U795" s="10" t="str">
        <f>HYPERLINK("https://pbs.twimg.com/profile_images/1055761299605467136/JtGnyzzy.jpg","View")</f>
        <v>View</v>
      </c>
    </row>
    <row r="796" spans="1:21" ht="20.399999999999999">
      <c r="A796" s="6">
        <v>43426.287812499999</v>
      </c>
      <c r="B796" s="7" t="str">
        <f>HYPERLINK("https://twitter.com/Piliog","@Piliog")</f>
        <v>@Piliog</v>
      </c>
      <c r="C796" s="8" t="s">
        <v>4940</v>
      </c>
      <c r="D796" s="9" t="s">
        <v>768</v>
      </c>
      <c r="E796" s="10" t="str">
        <f>HYPERLINK("https://twitter.com/Piliog/status/1065619523854848002","1065619523854848002")</f>
        <v>1065619523854848002</v>
      </c>
      <c r="F796" s="14" t="s">
        <v>529</v>
      </c>
      <c r="G796" s="11"/>
      <c r="H796" s="11"/>
      <c r="I796" s="12">
        <v>0</v>
      </c>
      <c r="J796" s="12">
        <v>0</v>
      </c>
      <c r="K796" s="13" t="str">
        <f>HYPERLINK("http://twitter.com/download/android","Twitter for Android")</f>
        <v>Twitter for Android</v>
      </c>
      <c r="L796" s="12">
        <v>330</v>
      </c>
      <c r="M796" s="12">
        <v>887</v>
      </c>
      <c r="N796" s="12">
        <v>2</v>
      </c>
      <c r="O796" s="15"/>
      <c r="P796" s="6">
        <v>41324.419432870374</v>
      </c>
      <c r="Q796" s="11"/>
      <c r="R796" s="17" t="s">
        <v>4943</v>
      </c>
      <c r="S796" s="11"/>
      <c r="T796" s="11"/>
      <c r="U796" s="10" t="str">
        <f>HYPERLINK("https://pbs.twimg.com/profile_images/1015872092246601728/5UVQug6S.jpg","View")</f>
        <v>View</v>
      </c>
    </row>
    <row r="797" spans="1:21" ht="30.6">
      <c r="A797" s="6">
        <v>43426.28769675926</v>
      </c>
      <c r="B797" s="7" t="str">
        <f>HYPERLINK("https://twitter.com/rmartinpalacios","@rmartinpalacios")</f>
        <v>@rmartinpalacios</v>
      </c>
      <c r="C797" s="8" t="s">
        <v>4944</v>
      </c>
      <c r="D797" s="9" t="s">
        <v>4945</v>
      </c>
      <c r="E797" s="10" t="str">
        <f>HYPERLINK("https://twitter.com/rmartinpalacios/status/1065619482314514432","1065619482314514432")</f>
        <v>1065619482314514432</v>
      </c>
      <c r="F797" s="14" t="s">
        <v>96</v>
      </c>
      <c r="G797" s="11"/>
      <c r="H797" s="11"/>
      <c r="I797" s="12">
        <v>0</v>
      </c>
      <c r="J797" s="12">
        <v>2</v>
      </c>
      <c r="K797" s="13" t="str">
        <f>HYPERLINK("http://twitter.com/download/iphone","Twitter for iPhone")</f>
        <v>Twitter for iPhone</v>
      </c>
      <c r="L797" s="12">
        <v>2079</v>
      </c>
      <c r="M797" s="12">
        <v>798</v>
      </c>
      <c r="N797" s="12">
        <v>51</v>
      </c>
      <c r="O797" s="15"/>
      <c r="P797" s="6">
        <v>40851.122187499997</v>
      </c>
      <c r="Q797" s="16" t="s">
        <v>4948</v>
      </c>
      <c r="R797" s="17" t="s">
        <v>4949</v>
      </c>
      <c r="S797" s="14" t="s">
        <v>4950</v>
      </c>
      <c r="T797" s="11"/>
      <c r="U797" s="10" t="str">
        <f>HYPERLINK("https://pbs.twimg.com/profile_images/1060549158518562818/OcSWKdEy.jpg","View")</f>
        <v>View</v>
      </c>
    </row>
    <row r="798" spans="1:21" ht="30.6">
      <c r="A798" s="6">
        <v>43426.287407407406</v>
      </c>
      <c r="B798" s="7" t="str">
        <f>HYPERLINK("https://twitter.com/drytheirtears","@drytheirtears")</f>
        <v>@drytheirtears</v>
      </c>
      <c r="C798" s="8" t="s">
        <v>4951</v>
      </c>
      <c r="D798" s="9" t="s">
        <v>3304</v>
      </c>
      <c r="E798" s="10" t="str">
        <f>HYPERLINK("https://twitter.com/drytheirtears/status/1065619376399896576","1065619376399896576")</f>
        <v>1065619376399896576</v>
      </c>
      <c r="F798" s="11"/>
      <c r="G798" s="11"/>
      <c r="H798" s="11"/>
      <c r="I798" s="12">
        <v>1</v>
      </c>
      <c r="J798" s="12">
        <v>3</v>
      </c>
      <c r="K798" s="13" t="str">
        <f>HYPERLINK("http://twitter.com/download/android","Twitter for Android")</f>
        <v>Twitter for Android</v>
      </c>
      <c r="L798" s="12">
        <v>60</v>
      </c>
      <c r="M798" s="12">
        <v>169</v>
      </c>
      <c r="N798" s="12">
        <v>0</v>
      </c>
      <c r="O798" s="15"/>
      <c r="P798" s="6">
        <v>42829.664027777777</v>
      </c>
      <c r="Q798" s="16" t="s">
        <v>4955</v>
      </c>
      <c r="R798" s="17" t="s">
        <v>4956</v>
      </c>
      <c r="S798" s="11"/>
      <c r="T798" s="11"/>
      <c r="U798" s="10" t="str">
        <f>HYPERLINK("https://pbs.twimg.com/profile_images/1044735506209284096/owanf57_.jpg","View")</f>
        <v>View</v>
      </c>
    </row>
    <row r="799" spans="1:21" ht="20.399999999999999">
      <c r="A799" s="6">
        <v>43426.286469907413</v>
      </c>
      <c r="B799" s="7" t="str">
        <f>HYPERLINK("https://twitter.com/izi_bermudez25","@izi_bermudez25")</f>
        <v>@izi_bermudez25</v>
      </c>
      <c r="C799" s="8" t="s">
        <v>4957</v>
      </c>
      <c r="D799" s="9" t="s">
        <v>4958</v>
      </c>
      <c r="E799" s="10" t="str">
        <f>HYPERLINK("https://twitter.com/izi_bermudez25/status/1065619037760249856","1065619037760249856")</f>
        <v>1065619037760249856</v>
      </c>
      <c r="F799" s="14" t="s">
        <v>529</v>
      </c>
      <c r="G799" s="11"/>
      <c r="H799" s="11"/>
      <c r="I799" s="12">
        <v>0</v>
      </c>
      <c r="J799" s="12">
        <v>0</v>
      </c>
      <c r="K799" s="13" t="str">
        <f t="shared" ref="K799:K801" si="160">HYPERLINK("http://twitter.com","Twitter Web Client")</f>
        <v>Twitter Web Client</v>
      </c>
      <c r="L799" s="12">
        <v>763</v>
      </c>
      <c r="M799" s="12">
        <v>493</v>
      </c>
      <c r="N799" s="12">
        <v>18</v>
      </c>
      <c r="O799" s="15"/>
      <c r="P799" s="6">
        <v>41187.314386574071</v>
      </c>
      <c r="Q799" s="16" t="s">
        <v>4962</v>
      </c>
      <c r="R799" s="17" t="s">
        <v>4963</v>
      </c>
      <c r="S799" s="14" t="s">
        <v>4964</v>
      </c>
      <c r="T799" s="11"/>
      <c r="U799" s="10" t="str">
        <f>HYPERLINK("https://pbs.twimg.com/profile_images/1054858999726833664/jCMSc6Ei.jpg","View")</f>
        <v>View</v>
      </c>
    </row>
    <row r="800" spans="1:21" ht="51">
      <c r="A800" s="6">
        <v>43426.285416666666</v>
      </c>
      <c r="B800" s="7" t="str">
        <f>HYPERLINK("https://twitter.com/sanchezfornet","@sanchezfornet")</f>
        <v>@sanchezfornet</v>
      </c>
      <c r="C800" s="8" t="s">
        <v>4965</v>
      </c>
      <c r="D800" s="9" t="s">
        <v>4966</v>
      </c>
      <c r="E800" s="10" t="str">
        <f>HYPERLINK("https://twitter.com/sanchezfornet/status/1065618656653131776","1065618656653131776")</f>
        <v>1065618656653131776</v>
      </c>
      <c r="F800" s="14" t="s">
        <v>4969</v>
      </c>
      <c r="G800" s="11"/>
      <c r="H800" s="11"/>
      <c r="I800" s="12">
        <v>1</v>
      </c>
      <c r="J800" s="12">
        <v>4</v>
      </c>
      <c r="K800" s="13" t="str">
        <f t="shared" si="160"/>
        <v>Twitter Web Client</v>
      </c>
      <c r="L800" s="12">
        <v>11161</v>
      </c>
      <c r="M800" s="12">
        <v>961</v>
      </c>
      <c r="N800" s="12">
        <v>195</v>
      </c>
      <c r="O800" s="15"/>
      <c r="P800" s="6">
        <v>40855.00340277778</v>
      </c>
      <c r="Q800" s="11"/>
      <c r="R800" s="17" t="s">
        <v>4971</v>
      </c>
      <c r="S800" s="14" t="s">
        <v>4972</v>
      </c>
      <c r="T800" s="11"/>
      <c r="U800" s="10" t="str">
        <f>HYPERLINK("https://pbs.twimg.com/profile_images/1061332279744782342/-VR3t5Qx.jpg","View")</f>
        <v>View</v>
      </c>
    </row>
    <row r="801" spans="1:21" ht="20.399999999999999">
      <c r="A801" s="6">
        <v>43426.285381944443</v>
      </c>
      <c r="B801" s="7" t="str">
        <f>HYPERLINK("https://twitter.com/emilia_avis","@emilia_avis")</f>
        <v>@emilia_avis</v>
      </c>
      <c r="C801" s="8" t="s">
        <v>4974</v>
      </c>
      <c r="D801" s="9" t="s">
        <v>768</v>
      </c>
      <c r="E801" s="10" t="str">
        <f>HYPERLINK("https://twitter.com/emilia_avis/status/1065618643327901696","1065618643327901696")</f>
        <v>1065618643327901696</v>
      </c>
      <c r="F801" s="14" t="s">
        <v>529</v>
      </c>
      <c r="G801" s="11"/>
      <c r="H801" s="11"/>
      <c r="I801" s="12">
        <v>0</v>
      </c>
      <c r="J801" s="12">
        <v>0</v>
      </c>
      <c r="K801" s="13" t="str">
        <f t="shared" si="160"/>
        <v>Twitter Web Client</v>
      </c>
      <c r="L801" s="12">
        <v>46</v>
      </c>
      <c r="M801" s="12">
        <v>321</v>
      </c>
      <c r="N801" s="12">
        <v>0</v>
      </c>
      <c r="O801" s="15"/>
      <c r="P801" s="6">
        <v>43162.745520833334</v>
      </c>
      <c r="Q801" s="11"/>
      <c r="R801" s="19"/>
      <c r="S801" s="11"/>
      <c r="T801" s="11"/>
      <c r="U801" s="10" t="str">
        <f>HYPERLINK("https://pbs.twimg.com/profile_images/1038600602283065344/JScF2eoY.jpg","View")</f>
        <v>View</v>
      </c>
    </row>
    <row r="802" spans="1:21" ht="30.6">
      <c r="A802" s="6">
        <v>43426.28361111111</v>
      </c>
      <c r="B802" s="7" t="str">
        <f>HYPERLINK("https://twitter.com/MagfcoMargarito","@MagfcoMargarito")</f>
        <v>@MagfcoMargarito</v>
      </c>
      <c r="C802" s="8" t="s">
        <v>1942</v>
      </c>
      <c r="D802" s="9" t="s">
        <v>1943</v>
      </c>
      <c r="E802" s="10" t="str">
        <f>HYPERLINK("https://twitter.com/MagfcoMargarito/status/1065618002329169920","1065618002329169920")</f>
        <v>1065618002329169920</v>
      </c>
      <c r="F802" s="11"/>
      <c r="G802" s="11"/>
      <c r="H802" s="11"/>
      <c r="I802" s="12">
        <v>0</v>
      </c>
      <c r="J802" s="12">
        <v>0</v>
      </c>
      <c r="K802" s="13" t="str">
        <f>HYPERLINK("http://twitter.com/download/iphone","Twitter for iPhone")</f>
        <v>Twitter for iPhone</v>
      </c>
      <c r="L802" s="12">
        <v>965</v>
      </c>
      <c r="M802" s="12">
        <v>751</v>
      </c>
      <c r="N802" s="12">
        <v>14</v>
      </c>
      <c r="O802" s="15"/>
      <c r="P802" s="6">
        <v>40837.115648148145</v>
      </c>
      <c r="Q802" s="16" t="s">
        <v>1945</v>
      </c>
      <c r="R802" s="17" t="s">
        <v>1946</v>
      </c>
      <c r="S802" s="14" t="s">
        <v>1947</v>
      </c>
      <c r="T802" s="11"/>
      <c r="U802" s="10" t="str">
        <f>HYPERLINK("https://pbs.twimg.com/profile_images/1049241671349784576/xXs0edIV.jpg","View")</f>
        <v>View</v>
      </c>
    </row>
    <row r="803" spans="1:21" ht="51">
      <c r="A803" s="6">
        <v>43426.280706018515</v>
      </c>
      <c r="B803" s="7" t="str">
        <f>HYPERLINK("https://twitter.com/JaviMSantos","@JaviMSantos")</f>
        <v>@JaviMSantos</v>
      </c>
      <c r="C803" s="8" t="s">
        <v>4980</v>
      </c>
      <c r="D803" s="9" t="s">
        <v>4981</v>
      </c>
      <c r="E803" s="10" t="str">
        <f>HYPERLINK("https://twitter.com/JaviMSantos/status/1065616950926155776","1065616950926155776")</f>
        <v>1065616950926155776</v>
      </c>
      <c r="F803" s="11"/>
      <c r="G803" s="11"/>
      <c r="H803" s="11"/>
      <c r="I803" s="12">
        <v>0</v>
      </c>
      <c r="J803" s="12">
        <v>0</v>
      </c>
      <c r="K803" s="13" t="str">
        <f>HYPERLINK("http://twitter.com","Twitter Web Client")</f>
        <v>Twitter Web Client</v>
      </c>
      <c r="L803" s="12">
        <v>297</v>
      </c>
      <c r="M803" s="12">
        <v>602</v>
      </c>
      <c r="N803" s="12">
        <v>14</v>
      </c>
      <c r="O803" s="15"/>
      <c r="P803" s="6">
        <v>40181.624675925923</v>
      </c>
      <c r="Q803" s="11"/>
      <c r="R803" s="17" t="s">
        <v>4984</v>
      </c>
      <c r="S803" s="14" t="s">
        <v>4985</v>
      </c>
      <c r="T803" s="11"/>
      <c r="U803" s="10" t="str">
        <f>HYPERLINK("https://pbs.twimg.com/profile_images/378800000363384139/d37d451206b606435d6a1588dd259a57.jpeg","View")</f>
        <v>View</v>
      </c>
    </row>
    <row r="804" spans="1:21" ht="40.799999999999997">
      <c r="A804" s="6">
        <v>43426.278148148151</v>
      </c>
      <c r="B804" s="7" t="str">
        <f>HYPERLINK("https://twitter.com/rorroburg96","@rorroburg96")</f>
        <v>@rorroburg96</v>
      </c>
      <c r="C804" s="8" t="s">
        <v>1948</v>
      </c>
      <c r="D804" s="9" t="s">
        <v>1949</v>
      </c>
      <c r="E804" s="10" t="str">
        <f>HYPERLINK("https://twitter.com/rorroburg96/status/1065616020956696578","1065616020956696578")</f>
        <v>1065616020956696578</v>
      </c>
      <c r="F804" s="11"/>
      <c r="G804" s="11"/>
      <c r="H804" s="11"/>
      <c r="I804" s="12">
        <v>0</v>
      </c>
      <c r="J804" s="12">
        <v>3</v>
      </c>
      <c r="K804" s="13" t="str">
        <f>HYPERLINK("http://twitter.com/download/android","Twitter for Android")</f>
        <v>Twitter for Android</v>
      </c>
      <c r="L804" s="12">
        <v>33</v>
      </c>
      <c r="M804" s="12">
        <v>177</v>
      </c>
      <c r="N804" s="12">
        <v>1</v>
      </c>
      <c r="O804" s="15"/>
      <c r="P804" s="6">
        <v>43126.75472222222</v>
      </c>
      <c r="Q804" s="16" t="s">
        <v>1950</v>
      </c>
      <c r="R804" s="17" t="s">
        <v>1951</v>
      </c>
      <c r="S804" s="11"/>
      <c r="T804" s="11"/>
      <c r="U804" s="10" t="str">
        <f>HYPERLINK("https://pbs.twimg.com/profile_images/958402625854230529/4oF9xc2-.jpg","View")</f>
        <v>View</v>
      </c>
    </row>
    <row r="805" spans="1:21" ht="51">
      <c r="A805" s="6">
        <v>43426.276759259257</v>
      </c>
      <c r="B805" s="7" t="str">
        <f>HYPERLINK("https://twitter.com/Pablo_Iglesias_","@Pablo_Iglesias_")</f>
        <v>@Pablo_Iglesias_</v>
      </c>
      <c r="C805" s="8" t="s">
        <v>383</v>
      </c>
      <c r="D805" s="9" t="s">
        <v>4990</v>
      </c>
      <c r="E805" s="10" t="str">
        <f>HYPERLINK("https://twitter.com/Pablo_Iglesias_/status/1065615518521012224","1065615518521012224")</f>
        <v>1065615518521012224</v>
      </c>
      <c r="F805" s="11"/>
      <c r="G805" s="14" t="s">
        <v>709</v>
      </c>
      <c r="H805" s="11"/>
      <c r="I805" s="12">
        <v>476</v>
      </c>
      <c r="J805" s="12">
        <v>895</v>
      </c>
      <c r="K805" s="13" t="str">
        <f>HYPERLINK("https://studio.twitter.com","Media Studio")</f>
        <v>Media Studio</v>
      </c>
      <c r="L805" s="12">
        <v>2240182</v>
      </c>
      <c r="M805" s="12">
        <v>2735</v>
      </c>
      <c r="N805" s="12">
        <v>8469</v>
      </c>
      <c r="O805" s="18" t="s">
        <v>52</v>
      </c>
      <c r="P805" s="6">
        <v>40351.200300925928</v>
      </c>
      <c r="Q805" s="16" t="s">
        <v>38</v>
      </c>
      <c r="R805" s="17" t="s">
        <v>389</v>
      </c>
      <c r="S805" s="14" t="s">
        <v>58</v>
      </c>
      <c r="T805" s="11"/>
      <c r="U805" s="10" t="str">
        <f>HYPERLINK("https://pbs.twimg.com/profile_images/902223370569338884/dL2D2A5P.jpg","View")</f>
        <v>View</v>
      </c>
    </row>
    <row r="806" spans="1:21" ht="20.399999999999999">
      <c r="A806" s="6">
        <v>43426.275983796295</v>
      </c>
      <c r="B806" s="7" t="str">
        <f>HYPERLINK("https://twitter.com/negativo_stats","@negativo_stats")</f>
        <v>@negativo_stats</v>
      </c>
      <c r="C806" s="8" t="s">
        <v>117</v>
      </c>
      <c r="D806" s="9" t="s">
        <v>118</v>
      </c>
      <c r="E806" s="10" t="str">
        <f>HYPERLINK("https://twitter.com/negativo_stats/status/1065615237334876165","1065615237334876165")</f>
        <v>1065615237334876165</v>
      </c>
      <c r="F806" s="11"/>
      <c r="G806" s="14" t="s">
        <v>1952</v>
      </c>
      <c r="H806" s="11"/>
      <c r="I806" s="12">
        <v>0</v>
      </c>
      <c r="J806" s="12">
        <v>0</v>
      </c>
      <c r="K806" s="13" t="str">
        <f>HYPERLINK("http://kosmonautica.es","Política Negativa")</f>
        <v>Política Negativa</v>
      </c>
      <c r="L806" s="12">
        <v>256</v>
      </c>
      <c r="M806" s="12">
        <v>694</v>
      </c>
      <c r="N806" s="12">
        <v>2</v>
      </c>
      <c r="O806" s="15"/>
      <c r="P806" s="6">
        <v>42171.395601851851</v>
      </c>
      <c r="Q806" s="16" t="s">
        <v>87</v>
      </c>
      <c r="R806" s="17" t="s">
        <v>120</v>
      </c>
      <c r="S806" s="11"/>
      <c r="T806" s="11"/>
      <c r="U806" s="10" t="str">
        <f>HYPERLINK("https://pbs.twimg.com/profile_images/628553625984438272/e-VHyhP1.png","View")</f>
        <v>View</v>
      </c>
    </row>
    <row r="807" spans="1:21" ht="81.599999999999994">
      <c r="A807" s="6">
        <v>43426.27380787037</v>
      </c>
      <c r="B807" s="7" t="str">
        <f>HYPERLINK("https://twitter.com/FELIXMA66782826","@FELIXMA66782826")</f>
        <v>@FELIXMA66782826</v>
      </c>
      <c r="C807" s="8" t="s">
        <v>4999</v>
      </c>
      <c r="D807" s="9" t="s">
        <v>5000</v>
      </c>
      <c r="E807" s="10" t="str">
        <f>HYPERLINK("https://twitter.com/FELIXMA66782826/status/1065614450080792578","1065614450080792578")</f>
        <v>1065614450080792578</v>
      </c>
      <c r="F807" s="14" t="s">
        <v>2003</v>
      </c>
      <c r="G807" s="11"/>
      <c r="H807" s="11"/>
      <c r="I807" s="12">
        <v>0</v>
      </c>
      <c r="J807" s="12">
        <v>0</v>
      </c>
      <c r="K807" s="13" t="str">
        <f>HYPERLINK("http://twitter.com/download/android","Twitter for Android")</f>
        <v>Twitter for Android</v>
      </c>
      <c r="L807" s="12">
        <v>123</v>
      </c>
      <c r="M807" s="12">
        <v>419</v>
      </c>
      <c r="N807" s="12">
        <v>0</v>
      </c>
      <c r="O807" s="15"/>
      <c r="P807" s="6">
        <v>43239.533032407402</v>
      </c>
      <c r="Q807" s="16" t="s">
        <v>406</v>
      </c>
      <c r="R807" s="17" t="s">
        <v>5003</v>
      </c>
      <c r="S807" s="11"/>
      <c r="T807" s="11"/>
      <c r="U807" s="10" t="str">
        <f>HYPERLINK("https://pbs.twimg.com/profile_images/998112873586069505/YLtC4nWK.jpg","View")</f>
        <v>View</v>
      </c>
    </row>
    <row r="808" spans="1:21" ht="81.599999999999994">
      <c r="A808" s="6">
        <v>43426.2734375</v>
      </c>
      <c r="B808" s="7" t="str">
        <f>HYPERLINK("https://twitter.com/JuanMFerrandez","@JuanMFerrandez")</f>
        <v>@JuanMFerrandez</v>
      </c>
      <c r="C808" s="8" t="s">
        <v>5005</v>
      </c>
      <c r="D808" s="9" t="s">
        <v>5006</v>
      </c>
      <c r="E808" s="10" t="str">
        <f>HYPERLINK("https://twitter.com/JuanMFerrandez/status/1065614314239873029","1065614314239873029")</f>
        <v>1065614314239873029</v>
      </c>
      <c r="F808" s="16" t="s">
        <v>173</v>
      </c>
      <c r="G808" s="14" t="s">
        <v>174</v>
      </c>
      <c r="H808" s="11"/>
      <c r="I808" s="12">
        <v>0</v>
      </c>
      <c r="J808" s="12">
        <v>0</v>
      </c>
      <c r="K808" s="13" t="str">
        <f>HYPERLINK("http://twitter.com","Twitter Web Client")</f>
        <v>Twitter Web Client</v>
      </c>
      <c r="L808" s="12">
        <v>88</v>
      </c>
      <c r="M808" s="12">
        <v>401</v>
      </c>
      <c r="N808" s="12">
        <v>2</v>
      </c>
      <c r="O808" s="15"/>
      <c r="P808" s="6">
        <v>40802.040543981479</v>
      </c>
      <c r="Q808" s="16" t="s">
        <v>2032</v>
      </c>
      <c r="R808" s="19"/>
      <c r="S808" s="14" t="s">
        <v>5008</v>
      </c>
      <c r="T808" s="11"/>
      <c r="U808" s="10" t="str">
        <f>HYPERLINK("https://pbs.twimg.com/profile_images/1549876770/manolito1.jpg","View")</f>
        <v>View</v>
      </c>
    </row>
    <row r="809" spans="1:21" ht="91.8">
      <c r="A809" s="6">
        <v>43426.273287037038</v>
      </c>
      <c r="B809" s="7" t="str">
        <f>HYPERLINK("https://twitter.com/HOPE443135511","@HOPE443135511")</f>
        <v>@HOPE443135511</v>
      </c>
      <c r="C809" s="8" t="s">
        <v>942</v>
      </c>
      <c r="D809" s="9" t="s">
        <v>5011</v>
      </c>
      <c r="E809" s="10" t="str">
        <f>HYPERLINK("https://twitter.com/HOPE443135511/status/1065614259571302400","1065614259571302400")</f>
        <v>1065614259571302400</v>
      </c>
      <c r="F809" s="16" t="s">
        <v>1291</v>
      </c>
      <c r="G809" s="11"/>
      <c r="H809" s="11"/>
      <c r="I809" s="12">
        <v>0</v>
      </c>
      <c r="J809" s="12">
        <v>0</v>
      </c>
      <c r="K809" s="13" t="str">
        <f t="shared" ref="K809:K810" si="161">HYPERLINK("http://twitter.com/download/android","Twitter for Android")</f>
        <v>Twitter for Android</v>
      </c>
      <c r="L809" s="12">
        <v>119</v>
      </c>
      <c r="M809" s="12">
        <v>110</v>
      </c>
      <c r="N809" s="12">
        <v>3</v>
      </c>
      <c r="O809" s="15"/>
      <c r="P809" s="6">
        <v>43153.367974537032</v>
      </c>
      <c r="Q809" s="11"/>
      <c r="R809" s="17" t="s">
        <v>944</v>
      </c>
      <c r="S809" s="11"/>
      <c r="T809" s="11"/>
      <c r="U809" s="10" t="str">
        <f>HYPERLINK("https://pbs.twimg.com/profile_images/1058503385903779841/TVhPon7D.jpg","View")</f>
        <v>View</v>
      </c>
    </row>
    <row r="810" spans="1:21" ht="20.399999999999999">
      <c r="A810" s="6">
        <v>43426.273275462961</v>
      </c>
      <c r="B810" s="7" t="str">
        <f>HYPERLINK("https://twitter.com/pazosxxx","@pazosxxx")</f>
        <v>@pazosxxx</v>
      </c>
      <c r="C810" s="8" t="s">
        <v>1956</v>
      </c>
      <c r="D810" s="9" t="s">
        <v>1957</v>
      </c>
      <c r="E810" s="10" t="str">
        <f>HYPERLINK("https://twitter.com/pazosxxx/status/1065614256635346944","1065614256635346944")</f>
        <v>1065614256635346944</v>
      </c>
      <c r="F810" s="14" t="s">
        <v>1958</v>
      </c>
      <c r="G810" s="11"/>
      <c r="H810" s="11"/>
      <c r="I810" s="12">
        <v>0</v>
      </c>
      <c r="J810" s="12">
        <v>0</v>
      </c>
      <c r="K810" s="13" t="str">
        <f t="shared" si="161"/>
        <v>Twitter for Android</v>
      </c>
      <c r="L810" s="12">
        <v>73</v>
      </c>
      <c r="M810" s="12">
        <v>266</v>
      </c>
      <c r="N810" s="12">
        <v>4</v>
      </c>
      <c r="O810" s="15"/>
      <c r="P810" s="6">
        <v>41332.088854166665</v>
      </c>
      <c r="Q810" s="11"/>
      <c r="R810" s="19"/>
      <c r="S810" s="11"/>
      <c r="T810" s="11"/>
      <c r="U810" s="10" t="str">
        <f>HYPERLINK("https://pbs.twimg.com/profile_images/423146798350630912/s3ojM4CT.jpeg","View")</f>
        <v>View</v>
      </c>
    </row>
    <row r="811" spans="1:21" ht="40.799999999999997">
      <c r="A811" s="6">
        <v>43426.272418981476</v>
      </c>
      <c r="B811" s="7" t="str">
        <f>HYPERLINK("https://twitter.com/ernestorr","@ernestorr")</f>
        <v>@ernestorr</v>
      </c>
      <c r="C811" s="8" t="s">
        <v>5017</v>
      </c>
      <c r="D811" s="9" t="s">
        <v>5018</v>
      </c>
      <c r="E811" s="10" t="str">
        <f>HYPERLINK("https://twitter.com/ernestorr/status/1065613947137662977","1065613947137662977")</f>
        <v>1065613947137662977</v>
      </c>
      <c r="F811" s="14" t="s">
        <v>420</v>
      </c>
      <c r="G811" s="11"/>
      <c r="H811" s="11"/>
      <c r="I811" s="12">
        <v>2</v>
      </c>
      <c r="J811" s="12">
        <v>12</v>
      </c>
      <c r="K811" s="13" t="str">
        <f>HYPERLINK("http://twitter.com","Twitter Web Client")</f>
        <v>Twitter Web Client</v>
      </c>
      <c r="L811" s="12">
        <v>5599</v>
      </c>
      <c r="M811" s="12">
        <v>2629</v>
      </c>
      <c r="N811" s="12">
        <v>38</v>
      </c>
      <c r="O811" s="15"/>
      <c r="P811" s="6">
        <v>40066.218032407407</v>
      </c>
      <c r="Q811" s="16" t="s">
        <v>5022</v>
      </c>
      <c r="R811" s="17" t="s">
        <v>5023</v>
      </c>
      <c r="S811" s="14" t="s">
        <v>5024</v>
      </c>
      <c r="T811" s="11"/>
      <c r="U811" s="10" t="str">
        <f>HYPERLINK("https://pbs.twimg.com/profile_images/814910873592434689/A92C4pef.jpg","View")</f>
        <v>View</v>
      </c>
    </row>
    <row r="812" spans="1:21" ht="51">
      <c r="A812" s="6">
        <v>43426.270138888889</v>
      </c>
      <c r="B812" s="7" t="str">
        <f>HYPERLINK("https://twitter.com/CELAGeopolitica","@CELAGeopolitica")</f>
        <v>@CELAGeopolitica</v>
      </c>
      <c r="C812" s="8" t="s">
        <v>411</v>
      </c>
      <c r="D812" s="9" t="s">
        <v>1959</v>
      </c>
      <c r="E812" s="10" t="str">
        <f>HYPERLINK("https://twitter.com/CELAGeopolitica/status/1065613119484018688","1065613119484018688")</f>
        <v>1065613119484018688</v>
      </c>
      <c r="F812" s="14" t="s">
        <v>1960</v>
      </c>
      <c r="G812" s="11"/>
      <c r="H812" s="11"/>
      <c r="I812" s="12">
        <v>2</v>
      </c>
      <c r="J812" s="12">
        <v>3</v>
      </c>
      <c r="K812" s="13" t="str">
        <f>HYPERLINK("https://about.twitter.com/products/tweetdeck","TweetDeck")</f>
        <v>TweetDeck</v>
      </c>
      <c r="L812" s="12">
        <v>15538</v>
      </c>
      <c r="M812" s="12">
        <v>1086</v>
      </c>
      <c r="N812" s="12">
        <v>183</v>
      </c>
      <c r="O812" s="15"/>
      <c r="P812" s="6">
        <v>41605.630127314813</v>
      </c>
      <c r="Q812" s="16" t="s">
        <v>417</v>
      </c>
      <c r="R812" s="17" t="s">
        <v>418</v>
      </c>
      <c r="S812" s="14" t="s">
        <v>419</v>
      </c>
      <c r="T812" s="11"/>
      <c r="U812" s="10" t="str">
        <f>HYPERLINK("https://pbs.twimg.com/profile_images/976829342016786432/by4xLGeC.jpg","View")</f>
        <v>View</v>
      </c>
    </row>
    <row r="813" spans="1:21" ht="30.6">
      <c r="A813" s="6">
        <v>43426.26898148148</v>
      </c>
      <c r="B813" s="7" t="str">
        <f>HYPERLINK("https://twitter.com/ribap","@ribap")</f>
        <v>@ribap</v>
      </c>
      <c r="C813" s="8" t="s">
        <v>1961</v>
      </c>
      <c r="D813" s="9" t="s">
        <v>1962</v>
      </c>
      <c r="E813" s="10" t="str">
        <f>HYPERLINK("https://twitter.com/ribap/status/1065612698543693825","1065612698543693825")</f>
        <v>1065612698543693825</v>
      </c>
      <c r="F813" s="14" t="s">
        <v>529</v>
      </c>
      <c r="G813" s="11"/>
      <c r="H813" s="11"/>
      <c r="I813" s="12">
        <v>0</v>
      </c>
      <c r="J813" s="12">
        <v>1</v>
      </c>
      <c r="K813" s="13" t="str">
        <f t="shared" ref="K813:K814" si="162">HYPERLINK("http://twitter.com","Twitter Web Client")</f>
        <v>Twitter Web Client</v>
      </c>
      <c r="L813" s="12">
        <v>1579</v>
      </c>
      <c r="M813" s="12">
        <v>659</v>
      </c>
      <c r="N813" s="12">
        <v>51</v>
      </c>
      <c r="O813" s="15"/>
      <c r="P813" s="6">
        <v>39604.188935185186</v>
      </c>
      <c r="Q813" s="16" t="s">
        <v>1963</v>
      </c>
      <c r="R813" s="17" t="s">
        <v>1964</v>
      </c>
      <c r="S813" s="14" t="s">
        <v>1965</v>
      </c>
      <c r="T813" s="11"/>
      <c r="U813" s="10" t="str">
        <f>HYPERLINK("https://pbs.twimg.com/profile_images/1167757538/69a1d7ca2dbe8d1a76b9e973fd2f033f.jpeg","View")</f>
        <v>View</v>
      </c>
    </row>
    <row r="814" spans="1:21" ht="30.6">
      <c r="A814" s="6">
        <v>43426.267939814818</v>
      </c>
      <c r="B814" s="7" t="str">
        <f>HYPERLINK("https://twitter.com/jasusio","@jasusio")</f>
        <v>@jasusio</v>
      </c>
      <c r="C814" s="8" t="s">
        <v>5033</v>
      </c>
      <c r="D814" s="9" t="s">
        <v>3106</v>
      </c>
      <c r="E814" s="10" t="str">
        <f>HYPERLINK("https://twitter.com/jasusio/status/1065612324625633281","1065612324625633281")</f>
        <v>1065612324625633281</v>
      </c>
      <c r="F814" s="14" t="s">
        <v>3087</v>
      </c>
      <c r="G814" s="11"/>
      <c r="H814" s="11"/>
      <c r="I814" s="12">
        <v>7</v>
      </c>
      <c r="J814" s="12">
        <v>2</v>
      </c>
      <c r="K814" s="13" t="str">
        <f t="shared" si="162"/>
        <v>Twitter Web Client</v>
      </c>
      <c r="L814" s="12">
        <v>5782</v>
      </c>
      <c r="M814" s="12">
        <v>5565</v>
      </c>
      <c r="N814" s="12">
        <v>46</v>
      </c>
      <c r="O814" s="15"/>
      <c r="P814" s="6">
        <v>40223.72928240741</v>
      </c>
      <c r="Q814" s="16" t="s">
        <v>28</v>
      </c>
      <c r="R814" s="17" t="s">
        <v>5036</v>
      </c>
      <c r="S814" s="11"/>
      <c r="T814" s="11"/>
      <c r="U814" s="10" t="str">
        <f>HYPERLINK("https://pbs.twimg.com/profile_images/2273055900/xxsw04vb6r66zjxlj4o0.png","View")</f>
        <v>View</v>
      </c>
    </row>
    <row r="815" spans="1:21" ht="30.6">
      <c r="A815" s="6">
        <v>43426.267893518518</v>
      </c>
      <c r="B815" s="7" t="str">
        <f>HYPERLINK("https://twitter.com/gleditsia66","@gleditsia66")</f>
        <v>@gleditsia66</v>
      </c>
      <c r="C815" s="8" t="s">
        <v>5039</v>
      </c>
      <c r="D815" s="9" t="s">
        <v>5040</v>
      </c>
      <c r="E815" s="10" t="str">
        <f>HYPERLINK("https://twitter.com/gleditsia66/status/1065612304652410881","1065612304652410881")</f>
        <v>1065612304652410881</v>
      </c>
      <c r="F815" s="14" t="s">
        <v>79</v>
      </c>
      <c r="G815" s="11"/>
      <c r="H815" s="11"/>
      <c r="I815" s="12">
        <v>0</v>
      </c>
      <c r="J815" s="12">
        <v>0</v>
      </c>
      <c r="K815" s="13" t="str">
        <f>HYPERLINK("http://twitter.com/download/android","Twitter for Android")</f>
        <v>Twitter for Android</v>
      </c>
      <c r="L815" s="12">
        <v>978</v>
      </c>
      <c r="M815" s="12">
        <v>1136</v>
      </c>
      <c r="N815" s="12">
        <v>10</v>
      </c>
      <c r="O815" s="15"/>
      <c r="P815" s="6">
        <v>42291.029583333337</v>
      </c>
      <c r="Q815" s="11"/>
      <c r="R815" s="17" t="s">
        <v>5042</v>
      </c>
      <c r="S815" s="11"/>
      <c r="T815" s="11"/>
      <c r="U815" s="10" t="str">
        <f>HYPERLINK("https://pbs.twimg.com/profile_images/1056099600648597504/q9rdOFwj.jpg","View")</f>
        <v>View</v>
      </c>
    </row>
    <row r="816" spans="1:21" ht="40.799999999999997">
      <c r="A816" s="6">
        <v>43426.267407407402</v>
      </c>
      <c r="B816" s="7" t="str">
        <f>HYPERLINK("https://twitter.com/el_pais","@el_pais")</f>
        <v>@el_pais</v>
      </c>
      <c r="C816" s="8" t="s">
        <v>1042</v>
      </c>
      <c r="D816" s="9" t="s">
        <v>1966</v>
      </c>
      <c r="E816" s="10" t="str">
        <f>HYPERLINK("https://twitter.com/el_pais/status/1065612130370629632","1065612130370629632")</f>
        <v>1065612130370629632</v>
      </c>
      <c r="F816" s="14" t="s">
        <v>1967</v>
      </c>
      <c r="G816" s="11"/>
      <c r="H816" s="11"/>
      <c r="I816" s="12">
        <v>37</v>
      </c>
      <c r="J816" s="12">
        <v>54</v>
      </c>
      <c r="K816" s="13" t="str">
        <f>HYPERLINK("https://www.hootsuite.com","Hootsuite Inc.")</f>
        <v>Hootsuite Inc.</v>
      </c>
      <c r="L816" s="12">
        <v>6718560</v>
      </c>
      <c r="M816" s="12">
        <v>777</v>
      </c>
      <c r="N816" s="12">
        <v>55920</v>
      </c>
      <c r="O816" s="18" t="s">
        <v>52</v>
      </c>
      <c r="P816" s="6">
        <v>39300.38899305556</v>
      </c>
      <c r="Q816" s="16" t="s">
        <v>38</v>
      </c>
      <c r="R816" s="17" t="s">
        <v>1045</v>
      </c>
      <c r="S816" s="14" t="s">
        <v>1046</v>
      </c>
      <c r="T816" s="11"/>
      <c r="U816" s="10" t="str">
        <f>HYPERLINK("https://pbs.twimg.com/profile_images/815456059322036224/o_RQNEOh.jpg","View")</f>
        <v>View</v>
      </c>
    </row>
    <row r="817" spans="1:21" ht="61.2">
      <c r="A817" s="6">
        <v>43426.266111111108</v>
      </c>
      <c r="B817" s="7" t="str">
        <f>HYPERLINK("https://twitter.com/pipio44","@pipio44")</f>
        <v>@pipio44</v>
      </c>
      <c r="C817" s="8" t="s">
        <v>713</v>
      </c>
      <c r="D817" s="9" t="s">
        <v>1968</v>
      </c>
      <c r="E817" s="10" t="str">
        <f>HYPERLINK("https://twitter.com/pipio44/status/1065611659597758465","1065611659597758465")</f>
        <v>1065611659597758465</v>
      </c>
      <c r="F817" s="16" t="s">
        <v>1969</v>
      </c>
      <c r="G817" s="11"/>
      <c r="H817" s="11"/>
      <c r="I817" s="12">
        <v>0</v>
      </c>
      <c r="J817" s="12">
        <v>0</v>
      </c>
      <c r="K817" s="13" t="str">
        <f>HYPERLINK("http://twitter.com/download/iphone","Twitter for iPhone")</f>
        <v>Twitter for iPhone</v>
      </c>
      <c r="L817" s="12">
        <v>737</v>
      </c>
      <c r="M817" s="12">
        <v>544</v>
      </c>
      <c r="N817" s="12">
        <v>28</v>
      </c>
      <c r="O817" s="15"/>
      <c r="P817" s="6">
        <v>40770.663275462961</v>
      </c>
      <c r="Q817" s="11"/>
      <c r="R817" s="17" t="s">
        <v>719</v>
      </c>
      <c r="S817" s="11"/>
      <c r="T817" s="11"/>
      <c r="U817" s="10" t="str">
        <f>HYPERLINK("https://pbs.twimg.com/profile_images/1052141810347364353/8JWxa8CG.jpg","View")</f>
        <v>View</v>
      </c>
    </row>
    <row r="818" spans="1:21" ht="30.6">
      <c r="A818" s="6">
        <v>43426.265277777777</v>
      </c>
      <c r="B818" s="7" t="str">
        <f>HYPERLINK("https://twitter.com/opiniondemalaga","@opiniondemalaga")</f>
        <v>@opiniondemalaga</v>
      </c>
      <c r="C818" s="8" t="s">
        <v>1970</v>
      </c>
      <c r="D818" s="9" t="s">
        <v>1971</v>
      </c>
      <c r="E818" s="10" t="str">
        <f>HYPERLINK("https://twitter.com/opiniondemalaga/status/1065611357125435392","1065611357125435392")</f>
        <v>1065611357125435392</v>
      </c>
      <c r="F818" s="14" t="s">
        <v>1974</v>
      </c>
      <c r="G818" s="14" t="s">
        <v>1975</v>
      </c>
      <c r="H818" s="11"/>
      <c r="I818" s="12">
        <v>2</v>
      </c>
      <c r="J818" s="12">
        <v>2</v>
      </c>
      <c r="K818" s="13" t="str">
        <f>HYPERLINK("https://about.twitter.com/products/tweetdeck","TweetDeck")</f>
        <v>TweetDeck</v>
      </c>
      <c r="L818" s="12">
        <v>133125</v>
      </c>
      <c r="M818" s="12">
        <v>3325</v>
      </c>
      <c r="N818" s="12">
        <v>1082</v>
      </c>
      <c r="O818" s="18" t="s">
        <v>52</v>
      </c>
      <c r="P818" s="6">
        <v>40114.219537037039</v>
      </c>
      <c r="Q818" s="16" t="s">
        <v>1977</v>
      </c>
      <c r="R818" s="17" t="s">
        <v>1978</v>
      </c>
      <c r="S818" s="14" t="s">
        <v>1979</v>
      </c>
      <c r="T818" s="11"/>
      <c r="U818" s="10" t="str">
        <f>HYPERLINK("https://pbs.twimg.com/profile_images/3184041377/ad287227ca24ee8d6fc41ba18e085148.jpeg","View")</f>
        <v>View</v>
      </c>
    </row>
    <row r="819" spans="1:21" ht="51">
      <c r="A819" s="6">
        <v>43426.265150462961</v>
      </c>
      <c r="B819" s="7" t="str">
        <f>HYPERLINK("https://twitter.com/hastalos_eggs","@hastalos_eggs")</f>
        <v>@hastalos_eggs</v>
      </c>
      <c r="C819" s="8" t="s">
        <v>1983</v>
      </c>
      <c r="D819" s="9" t="s">
        <v>1984</v>
      </c>
      <c r="E819" s="10" t="str">
        <f>HYPERLINK("https://twitter.com/hastalos_eggs/status/1065611312737210368","1065611312737210368")</f>
        <v>1065611312737210368</v>
      </c>
      <c r="F819" s="14" t="s">
        <v>79</v>
      </c>
      <c r="G819" s="11"/>
      <c r="H819" s="11"/>
      <c r="I819" s="12">
        <v>0</v>
      </c>
      <c r="J819" s="12">
        <v>0</v>
      </c>
      <c r="K819" s="13" t="str">
        <f t="shared" ref="K819:K820" si="163">HYPERLINK("http://twitter.com/download/android","Twitter for Android")</f>
        <v>Twitter for Android</v>
      </c>
      <c r="L819" s="12">
        <v>995</v>
      </c>
      <c r="M819" s="12">
        <v>191</v>
      </c>
      <c r="N819" s="12">
        <v>5</v>
      </c>
      <c r="O819" s="15"/>
      <c r="P819" s="6">
        <v>42882.720532407402</v>
      </c>
      <c r="Q819" s="16" t="s">
        <v>116</v>
      </c>
      <c r="R819" s="17" t="s">
        <v>1985</v>
      </c>
      <c r="S819" s="11"/>
      <c r="T819" s="11"/>
      <c r="U819" s="10" t="str">
        <f>HYPERLINK("https://pbs.twimg.com/profile_images/950125819451641861/VV723g2s.jpg","View")</f>
        <v>View</v>
      </c>
    </row>
    <row r="820" spans="1:21" ht="30.6">
      <c r="A820" s="6">
        <v>43426.26462962963</v>
      </c>
      <c r="B820" s="7" t="str">
        <f>HYPERLINK("https://twitter.com/DeathlyODD","@DeathlyODD")</f>
        <v>@DeathlyODD</v>
      </c>
      <c r="C820" s="8" t="s">
        <v>5055</v>
      </c>
      <c r="D820" s="9" t="s">
        <v>3304</v>
      </c>
      <c r="E820" s="10" t="str">
        <f>HYPERLINK("https://twitter.com/DeathlyODD/status/1065611122286489600","1065611122286489600")</f>
        <v>1065611122286489600</v>
      </c>
      <c r="F820" s="11"/>
      <c r="G820" s="11"/>
      <c r="H820" s="11"/>
      <c r="I820" s="12">
        <v>0</v>
      </c>
      <c r="J820" s="12">
        <v>2</v>
      </c>
      <c r="K820" s="13" t="str">
        <f t="shared" si="163"/>
        <v>Twitter for Android</v>
      </c>
      <c r="L820" s="12">
        <v>32</v>
      </c>
      <c r="M820" s="12">
        <v>71</v>
      </c>
      <c r="N820" s="12">
        <v>0</v>
      </c>
      <c r="O820" s="15"/>
      <c r="P820" s="6">
        <v>42560.401203703703</v>
      </c>
      <c r="Q820" s="11"/>
      <c r="R820" s="19"/>
      <c r="S820" s="11"/>
      <c r="T820" s="11"/>
      <c r="U820" s="10" t="str">
        <f>HYPERLINK("https://pbs.twimg.com/profile_images/1065490097695588352/mKak0U-P.jpg","View")</f>
        <v>View</v>
      </c>
    </row>
    <row r="821" spans="1:21" ht="40.799999999999997">
      <c r="A821" s="6">
        <v>43426.264421296291</v>
      </c>
      <c r="B821" s="7" t="str">
        <f>HYPERLINK("https://twitter.com/Yayo2006","@Yayo2006")</f>
        <v>@Yayo2006</v>
      </c>
      <c r="C821" s="8" t="s">
        <v>5059</v>
      </c>
      <c r="D821" s="9" t="s">
        <v>5061</v>
      </c>
      <c r="E821" s="10" t="str">
        <f>HYPERLINK("https://twitter.com/Yayo2006/status/1065611047309066240","1065611047309066240")</f>
        <v>1065611047309066240</v>
      </c>
      <c r="F821" s="14" t="s">
        <v>529</v>
      </c>
      <c r="G821" s="11"/>
      <c r="H821" s="11"/>
      <c r="I821" s="12">
        <v>0</v>
      </c>
      <c r="J821" s="12">
        <v>0</v>
      </c>
      <c r="K821" s="13" t="str">
        <f t="shared" ref="K821:K822" si="164">HYPERLINK("http://twitter.com","Twitter Web Client")</f>
        <v>Twitter Web Client</v>
      </c>
      <c r="L821" s="12">
        <v>258</v>
      </c>
      <c r="M821" s="12">
        <v>399</v>
      </c>
      <c r="N821" s="12">
        <v>1</v>
      </c>
      <c r="O821" s="15"/>
      <c r="P821" s="6">
        <v>42302.010300925926</v>
      </c>
      <c r="Q821" s="16" t="s">
        <v>5062</v>
      </c>
      <c r="R821" s="17" t="s">
        <v>5063</v>
      </c>
      <c r="S821" s="11"/>
      <c r="T821" s="11"/>
      <c r="U821" s="10" t="str">
        <f>HYPERLINK("https://pbs.twimg.com/profile_images/1046460414475857920/z9d866DB.jpg","View")</f>
        <v>View</v>
      </c>
    </row>
    <row r="822" spans="1:21" ht="102">
      <c r="A822" s="6">
        <v>43426.263692129629</v>
      </c>
      <c r="B822" s="7" t="str">
        <f>HYPERLINK("https://twitter.com/motzanka","@motzanka")</f>
        <v>@motzanka</v>
      </c>
      <c r="C822" s="8" t="s">
        <v>1986</v>
      </c>
      <c r="D822" s="9" t="s">
        <v>1987</v>
      </c>
      <c r="E822" s="10" t="str">
        <f>HYPERLINK("https://twitter.com/motzanka/status/1065610782388494337","1065610782388494337")</f>
        <v>1065610782388494337</v>
      </c>
      <c r="F822" s="14" t="s">
        <v>1988</v>
      </c>
      <c r="G822" s="14" t="s">
        <v>1989</v>
      </c>
      <c r="H822" s="11"/>
      <c r="I822" s="12">
        <v>0</v>
      </c>
      <c r="J822" s="12">
        <v>0</v>
      </c>
      <c r="K822" s="13" t="str">
        <f t="shared" si="164"/>
        <v>Twitter Web Client</v>
      </c>
      <c r="L822" s="12">
        <v>369</v>
      </c>
      <c r="M822" s="12">
        <v>518</v>
      </c>
      <c r="N822" s="12">
        <v>10</v>
      </c>
      <c r="O822" s="15"/>
      <c r="P822" s="6">
        <v>41683.587465277778</v>
      </c>
      <c r="Q822" s="16" t="s">
        <v>38</v>
      </c>
      <c r="R822" s="17" t="s">
        <v>1990</v>
      </c>
      <c r="S822" s="11"/>
      <c r="T822" s="11"/>
      <c r="U822" s="10" t="str">
        <f>HYPERLINK("https://pbs.twimg.com/profile_images/768072778046173184/r9wV_TC9.jpg","View")</f>
        <v>View</v>
      </c>
    </row>
    <row r="823" spans="1:21" ht="71.400000000000006">
      <c r="A823" s="6">
        <v>43426.26262731482</v>
      </c>
      <c r="B823" s="7" t="str">
        <f>HYPERLINK("https://twitter.com/irra39","@irra39")</f>
        <v>@irra39</v>
      </c>
      <c r="C823" s="8" t="s">
        <v>1991</v>
      </c>
      <c r="D823" s="9" t="s">
        <v>1992</v>
      </c>
      <c r="E823" s="10" t="str">
        <f>HYPERLINK("https://twitter.com/irra39/status/1065610398760648705","1065610398760648705")</f>
        <v>1065610398760648705</v>
      </c>
      <c r="F823" s="16" t="s">
        <v>1078</v>
      </c>
      <c r="G823" s="11"/>
      <c r="H823" s="11"/>
      <c r="I823" s="12">
        <v>0</v>
      </c>
      <c r="J823" s="12">
        <v>0</v>
      </c>
      <c r="K823" s="13" t="str">
        <f t="shared" ref="K823:K825" si="165">HYPERLINK("http://twitter.com/download/android","Twitter for Android")</f>
        <v>Twitter for Android</v>
      </c>
      <c r="L823" s="12">
        <v>208</v>
      </c>
      <c r="M823" s="12">
        <v>315</v>
      </c>
      <c r="N823" s="12">
        <v>3</v>
      </c>
      <c r="O823" s="15"/>
      <c r="P823" s="6">
        <v>40453.516134259262</v>
      </c>
      <c r="Q823" s="16" t="s">
        <v>1993</v>
      </c>
      <c r="R823" s="17" t="s">
        <v>1994</v>
      </c>
      <c r="S823" s="14" t="s">
        <v>1995</v>
      </c>
      <c r="T823" s="11"/>
      <c r="U823" s="10" t="str">
        <f>HYPERLINK("https://pbs.twimg.com/profile_images/1035905581851332610/WwTKNIYE.jpg","View")</f>
        <v>View</v>
      </c>
    </row>
    <row r="824" spans="1:21" ht="30.6">
      <c r="A824" s="6">
        <v>43426.261840277773</v>
      </c>
      <c r="B824" s="7" t="str">
        <f>HYPERLINK("https://twitter.com/Nxdxkx","@Nxdxkx")</f>
        <v>@Nxdxkx</v>
      </c>
      <c r="C824" s="8" t="s">
        <v>5074</v>
      </c>
      <c r="D824" s="9" t="s">
        <v>3304</v>
      </c>
      <c r="E824" s="10" t="str">
        <f>HYPERLINK("https://twitter.com/Nxdxkx/status/1065610113388617729","1065610113388617729")</f>
        <v>1065610113388617729</v>
      </c>
      <c r="F824" s="11"/>
      <c r="G824" s="11"/>
      <c r="H824" s="11"/>
      <c r="I824" s="12">
        <v>0</v>
      </c>
      <c r="J824" s="12">
        <v>3</v>
      </c>
      <c r="K824" s="13" t="str">
        <f t="shared" si="165"/>
        <v>Twitter for Android</v>
      </c>
      <c r="L824" s="12">
        <v>85</v>
      </c>
      <c r="M824" s="12">
        <v>104</v>
      </c>
      <c r="N824" s="12">
        <v>0</v>
      </c>
      <c r="O824" s="15"/>
      <c r="P824" s="6">
        <v>40812.243101851855</v>
      </c>
      <c r="Q824" s="16" t="s">
        <v>5078</v>
      </c>
      <c r="R824" s="17" t="s">
        <v>5079</v>
      </c>
      <c r="S824" s="11"/>
      <c r="T824" s="11"/>
      <c r="U824" s="10" t="str">
        <f>HYPERLINK("https://pbs.twimg.com/profile_images/1065017627943284736/OtknD4Ut.jpg","View")</f>
        <v>View</v>
      </c>
    </row>
    <row r="825" spans="1:21" ht="51">
      <c r="A825" s="6">
        <v>43426.260925925926</v>
      </c>
      <c r="B825" s="7" t="str">
        <f>HYPERLINK("https://twitter.com/rauljshogun","@rauljshogun")</f>
        <v>@rauljshogun</v>
      </c>
      <c r="C825" s="8" t="s">
        <v>1996</v>
      </c>
      <c r="D825" s="9" t="s">
        <v>1997</v>
      </c>
      <c r="E825" s="10" t="str">
        <f>HYPERLINK("https://twitter.com/rauljshogun/status/1065609781040295936","1065609781040295936")</f>
        <v>1065609781040295936</v>
      </c>
      <c r="F825" s="11"/>
      <c r="G825" s="11"/>
      <c r="H825" s="11"/>
      <c r="I825" s="12">
        <v>1</v>
      </c>
      <c r="J825" s="12">
        <v>3</v>
      </c>
      <c r="K825" s="13" t="str">
        <f t="shared" si="165"/>
        <v>Twitter for Android</v>
      </c>
      <c r="L825" s="12">
        <v>1545</v>
      </c>
      <c r="M825" s="12">
        <v>212</v>
      </c>
      <c r="N825" s="12">
        <v>30</v>
      </c>
      <c r="O825" s="15"/>
      <c r="P825" s="6">
        <v>40485.229444444441</v>
      </c>
      <c r="Q825" s="16" t="s">
        <v>1998</v>
      </c>
      <c r="R825" s="17" t="s">
        <v>1999</v>
      </c>
      <c r="S825" s="14" t="s">
        <v>2000</v>
      </c>
      <c r="T825" s="11"/>
      <c r="U825" s="10" t="str">
        <f>HYPERLINK("https://pbs.twimg.com/profile_images/452211163913543681/ZReqpvPy.jpeg","View")</f>
        <v>View</v>
      </c>
    </row>
    <row r="826" spans="1:21" ht="20.399999999999999">
      <c r="A826" s="6">
        <v>43426.260740740741</v>
      </c>
      <c r="B826" s="7" t="str">
        <f>HYPERLINK("https://twitter.com/frankJFCOM1","@frankJFCOM1")</f>
        <v>@frankJFCOM1</v>
      </c>
      <c r="C826" s="8" t="s">
        <v>5083</v>
      </c>
      <c r="D826" s="9" t="s">
        <v>768</v>
      </c>
      <c r="E826" s="10" t="str">
        <f>HYPERLINK("https://twitter.com/frankJFCOM1/status/1065609714195668992","1065609714195668992")</f>
        <v>1065609714195668992</v>
      </c>
      <c r="F826" s="14" t="s">
        <v>529</v>
      </c>
      <c r="G826" s="11"/>
      <c r="H826" s="11"/>
      <c r="I826" s="12">
        <v>0</v>
      </c>
      <c r="J826" s="12">
        <v>0</v>
      </c>
      <c r="K826" s="13" t="str">
        <f t="shared" ref="K826:K827" si="166">HYPERLINK("http://twitter.com","Twitter Web Client")</f>
        <v>Twitter Web Client</v>
      </c>
      <c r="L826" s="12">
        <v>3</v>
      </c>
      <c r="M826" s="12">
        <v>2</v>
      </c>
      <c r="N826" s="12">
        <v>0</v>
      </c>
      <c r="O826" s="15"/>
      <c r="P826" s="6">
        <v>43193.209895833337</v>
      </c>
      <c r="Q826" s="11"/>
      <c r="R826" s="20" t="s">
        <v>5086</v>
      </c>
      <c r="S826" s="11"/>
      <c r="T826" s="11"/>
      <c r="U826" s="10" t="str">
        <f>HYPERLINK("https://pbs.twimg.com/profile_images/1018866708470206464/3EeD4-rX.jpg","View")</f>
        <v>View</v>
      </c>
    </row>
    <row r="827" spans="1:21" ht="30.6">
      <c r="A827" s="6">
        <v>43426.259085648147</v>
      </c>
      <c r="B827" s="7" t="str">
        <f>HYPERLINK("https://twitter.com/chelehomero","@chelehomero")</f>
        <v>@chelehomero</v>
      </c>
      <c r="C827" s="8" t="s">
        <v>5088</v>
      </c>
      <c r="D827" s="9" t="s">
        <v>768</v>
      </c>
      <c r="E827" s="10" t="str">
        <f>HYPERLINK("https://twitter.com/chelehomero/status/1065609114250878976","1065609114250878976")</f>
        <v>1065609114250878976</v>
      </c>
      <c r="F827" s="14" t="s">
        <v>529</v>
      </c>
      <c r="G827" s="11"/>
      <c r="H827" s="11"/>
      <c r="I827" s="12">
        <v>0</v>
      </c>
      <c r="J827" s="12">
        <v>0</v>
      </c>
      <c r="K827" s="13" t="str">
        <f t="shared" si="166"/>
        <v>Twitter Web Client</v>
      </c>
      <c r="L827" s="12">
        <v>170</v>
      </c>
      <c r="M827" s="12">
        <v>375</v>
      </c>
      <c r="N827" s="12">
        <v>1</v>
      </c>
      <c r="O827" s="15"/>
      <c r="P827" s="6">
        <v>40558.752557870372</v>
      </c>
      <c r="Q827" s="16" t="s">
        <v>5091</v>
      </c>
      <c r="R827" s="17" t="s">
        <v>5092</v>
      </c>
      <c r="S827" s="11"/>
      <c r="T827" s="11"/>
      <c r="U827" s="10" t="str">
        <f>HYPERLINK("https://pbs.twimg.com/profile_images/946794792494731264/2GiMefJi.jpg","View")</f>
        <v>View</v>
      </c>
    </row>
    <row r="828" spans="1:21" ht="81.599999999999994">
      <c r="A828" s="6">
        <v>43426.25881944444</v>
      </c>
      <c r="B828" s="7" t="str">
        <f>HYPERLINK("https://twitter.com/benitoserres","@benitoserres")</f>
        <v>@benitoserres</v>
      </c>
      <c r="C828" s="8" t="s">
        <v>2004</v>
      </c>
      <c r="D828" s="9" t="s">
        <v>2005</v>
      </c>
      <c r="E828" s="10" t="str">
        <f>HYPERLINK("https://twitter.com/benitoserres/status/1065609019128197125","1065609019128197125")</f>
        <v>1065609019128197125</v>
      </c>
      <c r="F828" s="16" t="s">
        <v>173</v>
      </c>
      <c r="G828" s="14" t="s">
        <v>174</v>
      </c>
      <c r="H828" s="11"/>
      <c r="I828" s="12">
        <v>2</v>
      </c>
      <c r="J828" s="12">
        <v>2</v>
      </c>
      <c r="K828" s="13" t="str">
        <f>HYPERLINK("http://twitter.com/download/android","Twitter for Android")</f>
        <v>Twitter for Android</v>
      </c>
      <c r="L828" s="12">
        <v>835</v>
      </c>
      <c r="M828" s="12">
        <v>1333</v>
      </c>
      <c r="N828" s="12">
        <v>14</v>
      </c>
      <c r="O828" s="15"/>
      <c r="P828" s="6">
        <v>40687.043449074074</v>
      </c>
      <c r="Q828" s="16" t="s">
        <v>2008</v>
      </c>
      <c r="R828" s="17" t="s">
        <v>2009</v>
      </c>
      <c r="S828" s="11"/>
      <c r="T828" s="11"/>
      <c r="U828" s="10" t="str">
        <f>HYPERLINK("https://pbs.twimg.com/profile_images/947442679310422016/La6EoMTS.jpg","View")</f>
        <v>View</v>
      </c>
    </row>
    <row r="829" spans="1:21" ht="30.6">
      <c r="A829" s="6">
        <v>43426.258460648147</v>
      </c>
      <c r="B829" s="7" t="str">
        <f>HYPERLINK("https://twitter.com/jmedinarevuelta","@jmedinarevuelta")</f>
        <v>@jmedinarevuelta</v>
      </c>
      <c r="C829" s="8" t="s">
        <v>2010</v>
      </c>
      <c r="D829" s="9" t="s">
        <v>2011</v>
      </c>
      <c r="E829" s="10" t="str">
        <f>HYPERLINK("https://twitter.com/jmedinarevuelta/status/1065608887016046594","1065608887016046594")</f>
        <v>1065608887016046594</v>
      </c>
      <c r="F829" s="14" t="s">
        <v>2012</v>
      </c>
      <c r="G829" s="11"/>
      <c r="H829" s="11"/>
      <c r="I829" s="12">
        <v>0</v>
      </c>
      <c r="J829" s="12">
        <v>0</v>
      </c>
      <c r="K829" s="13" t="str">
        <f>HYPERLINK("http://twitter.com/download/iphone","Twitter for iPhone")</f>
        <v>Twitter for iPhone</v>
      </c>
      <c r="L829" s="12">
        <v>331</v>
      </c>
      <c r="M829" s="12">
        <v>859</v>
      </c>
      <c r="N829" s="12">
        <v>7</v>
      </c>
      <c r="O829" s="15"/>
      <c r="P829" s="6">
        <v>40790.431527777779</v>
      </c>
      <c r="Q829" s="16" t="s">
        <v>407</v>
      </c>
      <c r="R829" s="17" t="s">
        <v>2013</v>
      </c>
      <c r="S829" s="11"/>
      <c r="T829" s="11"/>
      <c r="U829" s="10" t="str">
        <f>HYPERLINK("https://pbs.twimg.com/profile_images/914978365098033157/235p7Cfl.jpg","View")</f>
        <v>View</v>
      </c>
    </row>
    <row r="830" spans="1:21" ht="40.799999999999997">
      <c r="A830" s="6">
        <v>43426.257141203707</v>
      </c>
      <c r="B830" s="7" t="str">
        <f>HYPERLINK("https://twitter.com/ElConjuntoVacio","@ElConjuntoVacio")</f>
        <v>@ElConjuntoVacio</v>
      </c>
      <c r="C830" s="8" t="s">
        <v>5101</v>
      </c>
      <c r="D830" s="9" t="s">
        <v>5102</v>
      </c>
      <c r="E830" s="10" t="str">
        <f>HYPERLINK("https://twitter.com/ElConjuntoVacio/status/1065608410199146496","1065608410199146496")</f>
        <v>1065608410199146496</v>
      </c>
      <c r="F830" s="11"/>
      <c r="G830" s="14" t="s">
        <v>5103</v>
      </c>
      <c r="H830" s="11"/>
      <c r="I830" s="12">
        <v>0</v>
      </c>
      <c r="J830" s="12">
        <v>1</v>
      </c>
      <c r="K830" s="13" t="str">
        <f t="shared" ref="K830:K832" si="167">HYPERLINK("http://twitter.com","Twitter Web Client")</f>
        <v>Twitter Web Client</v>
      </c>
      <c r="L830" s="12">
        <v>87</v>
      </c>
      <c r="M830" s="12">
        <v>168</v>
      </c>
      <c r="N830" s="12">
        <v>0</v>
      </c>
      <c r="O830" s="15"/>
      <c r="P830" s="6">
        <v>43402.290960648148</v>
      </c>
      <c r="Q830" s="16" t="s">
        <v>5106</v>
      </c>
      <c r="R830" s="17" t="s">
        <v>5107</v>
      </c>
      <c r="S830" s="11"/>
      <c r="T830" s="11"/>
      <c r="U830" s="10" t="str">
        <f>HYPERLINK("https://pbs.twimg.com/profile_images/1057014258700050432/WwU-yG9a.jpg","View")</f>
        <v>View</v>
      </c>
    </row>
    <row r="831" spans="1:21" ht="51">
      <c r="A831" s="6">
        <v>43426.25581018519</v>
      </c>
      <c r="B831" s="7" t="str">
        <f>HYPERLINK("https://twitter.com/ldpsincomplejos","@ldpsincomplejos")</f>
        <v>@ldpsincomplejos</v>
      </c>
      <c r="C831" s="8" t="s">
        <v>5109</v>
      </c>
      <c r="D831" s="9" t="s">
        <v>5110</v>
      </c>
      <c r="E831" s="10" t="str">
        <f>HYPERLINK("https://twitter.com/ldpsincomplejos/status/1065607926079983616","1065607926079983616")</f>
        <v>1065607926079983616</v>
      </c>
      <c r="F831" s="11"/>
      <c r="G831" s="11"/>
      <c r="H831" s="11"/>
      <c r="I831" s="12">
        <v>1352</v>
      </c>
      <c r="J831" s="12">
        <v>2958</v>
      </c>
      <c r="K831" s="13" t="str">
        <f t="shared" si="167"/>
        <v>Twitter Web Client</v>
      </c>
      <c r="L831" s="12">
        <v>108175</v>
      </c>
      <c r="M831" s="12">
        <v>2604</v>
      </c>
      <c r="N831" s="12">
        <v>1069</v>
      </c>
      <c r="O831" s="18" t="s">
        <v>52</v>
      </c>
      <c r="P831" s="6">
        <v>40566.402245370373</v>
      </c>
      <c r="Q831" s="16" t="s">
        <v>38</v>
      </c>
      <c r="R831" s="17" t="s">
        <v>5112</v>
      </c>
      <c r="S831" s="14" t="s">
        <v>5113</v>
      </c>
      <c r="T831" s="11"/>
      <c r="U831" s="10" t="str">
        <f>HYPERLINK("https://pbs.twimg.com/profile_images/1007677959245828097/i-2yAFvg.jpg","View")</f>
        <v>View</v>
      </c>
    </row>
    <row r="832" spans="1:21" ht="51">
      <c r="A832" s="6">
        <v>43426.254803240736</v>
      </c>
      <c r="B832" s="7" t="str">
        <f>HYPERLINK("https://twitter.com/andergsolana","@andergsolana")</f>
        <v>@andergsolana</v>
      </c>
      <c r="C832" s="8" t="s">
        <v>2014</v>
      </c>
      <c r="D832" s="9" t="s">
        <v>2015</v>
      </c>
      <c r="E832" s="10" t="str">
        <f>HYPERLINK("https://twitter.com/andergsolana/status/1065607563138539520","1065607563138539520")</f>
        <v>1065607563138539520</v>
      </c>
      <c r="F832" s="16" t="s">
        <v>2018</v>
      </c>
      <c r="G832" s="11"/>
      <c r="H832" s="11"/>
      <c r="I832" s="12">
        <v>0</v>
      </c>
      <c r="J832" s="12">
        <v>0</v>
      </c>
      <c r="K832" s="13" t="str">
        <f t="shared" si="167"/>
        <v>Twitter Web Client</v>
      </c>
      <c r="L832" s="12">
        <v>877</v>
      </c>
      <c r="M832" s="12">
        <v>340</v>
      </c>
      <c r="N832" s="12">
        <v>24</v>
      </c>
      <c r="O832" s="15"/>
      <c r="P832" s="6">
        <v>41798.520613425928</v>
      </c>
      <c r="Q832" s="11"/>
      <c r="R832" s="17" t="s">
        <v>2019</v>
      </c>
      <c r="S832" s="11"/>
      <c r="T832" s="11"/>
      <c r="U832" s="10" t="str">
        <f>HYPERLINK("https://pbs.twimg.com/profile_images/654311950558625792/RYG74NKt.jpg","View")</f>
        <v>View</v>
      </c>
    </row>
    <row r="833" spans="1:21" ht="40.799999999999997">
      <c r="A833" s="6">
        <v>43426.25403935185</v>
      </c>
      <c r="B833" s="7" t="str">
        <f>HYPERLINK("https://twitter.com/jp_defrutos","@jp_defrutos")</f>
        <v>@jp_defrutos</v>
      </c>
      <c r="C833" s="8" t="s">
        <v>5117</v>
      </c>
      <c r="D833" s="9" t="s">
        <v>5118</v>
      </c>
      <c r="E833" s="10" t="str">
        <f>HYPERLINK("https://twitter.com/jp_defrutos/status/1065607285458784257","1065607285458784257")</f>
        <v>1065607285458784257</v>
      </c>
      <c r="F833" s="11"/>
      <c r="G833" s="11"/>
      <c r="H833" s="11"/>
      <c r="I833" s="12">
        <v>0</v>
      </c>
      <c r="J833" s="12">
        <v>0</v>
      </c>
      <c r="K833" s="13" t="str">
        <f>HYPERLINK("http://twitter.com/download/android","Twitter for Android")</f>
        <v>Twitter for Android</v>
      </c>
      <c r="L833" s="12">
        <v>84</v>
      </c>
      <c r="M833" s="12">
        <v>113</v>
      </c>
      <c r="N833" s="12">
        <v>2</v>
      </c>
      <c r="O833" s="15"/>
      <c r="P833" s="6">
        <v>40757.321006944447</v>
      </c>
      <c r="Q833" s="16" t="s">
        <v>93</v>
      </c>
      <c r="R833" s="17" t="s">
        <v>5120</v>
      </c>
      <c r="S833" s="14" t="s">
        <v>5121</v>
      </c>
      <c r="T833" s="11"/>
      <c r="U833" s="10" t="str">
        <f>HYPERLINK("https://pbs.twimg.com/profile_images/531808023350489088/NPVSiGBl.png","View")</f>
        <v>View</v>
      </c>
    </row>
    <row r="834" spans="1:21" ht="40.799999999999997">
      <c r="A834" s="6">
        <v>43426.253807870366</v>
      </c>
      <c r="B834" s="7" t="str">
        <f>HYPERLINK("https://twitter.com/Joan_flo","@Joan_flo")</f>
        <v>@Joan_flo</v>
      </c>
      <c r="C834" s="8" t="s">
        <v>5124</v>
      </c>
      <c r="D834" s="9" t="s">
        <v>2895</v>
      </c>
      <c r="E834" s="10" t="str">
        <f>HYPERLINK("https://twitter.com/Joan_flo/status/1065607200540946432","1065607200540946432")</f>
        <v>1065607200540946432</v>
      </c>
      <c r="F834" s="14" t="s">
        <v>529</v>
      </c>
      <c r="G834" s="11"/>
      <c r="H834" s="11"/>
      <c r="I834" s="12">
        <v>0</v>
      </c>
      <c r="J834" s="12">
        <v>0</v>
      </c>
      <c r="K834" s="13" t="str">
        <f>HYPERLINK("http://twitter.com","Twitter Web Client")</f>
        <v>Twitter Web Client</v>
      </c>
      <c r="L834" s="12">
        <v>159</v>
      </c>
      <c r="M834" s="12">
        <v>252</v>
      </c>
      <c r="N834" s="12">
        <v>4</v>
      </c>
      <c r="O834" s="15"/>
      <c r="P834" s="6">
        <v>40544.651064814811</v>
      </c>
      <c r="Q834" s="16" t="s">
        <v>866</v>
      </c>
      <c r="R834" s="17" t="s">
        <v>5126</v>
      </c>
      <c r="S834" s="14" t="s">
        <v>5127</v>
      </c>
      <c r="T834" s="11"/>
      <c r="U834" s="10" t="str">
        <f>HYPERLINK("https://pbs.twimg.com/profile_images/724716366801055749/jBHQ_4J1.jpg","View")</f>
        <v>View</v>
      </c>
    </row>
    <row r="835" spans="1:21" ht="20.399999999999999">
      <c r="A835" s="6">
        <v>43426.253738425927</v>
      </c>
      <c r="B835" s="7" t="str">
        <f>HYPERLINK("https://twitter.com/DanielBetancur_","@DanielBetancur_")</f>
        <v>@DanielBetancur_</v>
      </c>
      <c r="C835" s="8" t="s">
        <v>5130</v>
      </c>
      <c r="D835" s="9" t="s">
        <v>768</v>
      </c>
      <c r="E835" s="10" t="str">
        <f>HYPERLINK("https://twitter.com/DanielBetancur_/status/1065607175157022721","1065607175157022721")</f>
        <v>1065607175157022721</v>
      </c>
      <c r="F835" s="14" t="s">
        <v>529</v>
      </c>
      <c r="G835" s="11"/>
      <c r="H835" s="11"/>
      <c r="I835" s="12">
        <v>0</v>
      </c>
      <c r="J835" s="12">
        <v>0</v>
      </c>
      <c r="K835" s="13" t="str">
        <f t="shared" ref="K835:K836" si="168">HYPERLINK("http://twitter.com/download/android","Twitter for Android")</f>
        <v>Twitter for Android</v>
      </c>
      <c r="L835" s="12">
        <v>421</v>
      </c>
      <c r="M835" s="12">
        <v>341</v>
      </c>
      <c r="N835" s="12">
        <v>10</v>
      </c>
      <c r="O835" s="15"/>
      <c r="P835" s="6">
        <v>40292.427291666667</v>
      </c>
      <c r="Q835" s="16" t="s">
        <v>5131</v>
      </c>
      <c r="R835" s="17" t="s">
        <v>5132</v>
      </c>
      <c r="S835" s="14" t="s">
        <v>5133</v>
      </c>
      <c r="T835" s="11"/>
      <c r="U835" s="10" t="str">
        <f>HYPERLINK("https://pbs.twimg.com/profile_images/1035444823048761344/yQ-CXwbJ.jpg","View")</f>
        <v>View</v>
      </c>
    </row>
    <row r="836" spans="1:21" ht="91.8">
      <c r="A836" s="6">
        <v>43426.253437499996</v>
      </c>
      <c r="B836" s="7" t="str">
        <f>HYPERLINK("https://twitter.com/RPMagrane","@RPMagrane")</f>
        <v>@RPMagrane</v>
      </c>
      <c r="C836" s="8" t="s">
        <v>2021</v>
      </c>
      <c r="D836" s="9" t="s">
        <v>2022</v>
      </c>
      <c r="E836" s="10" t="str">
        <f>HYPERLINK("https://twitter.com/RPMagrane/status/1065607066650386433","1065607066650386433")</f>
        <v>1065607066650386433</v>
      </c>
      <c r="F836" s="14" t="s">
        <v>2025</v>
      </c>
      <c r="G836" s="11"/>
      <c r="H836" s="11"/>
      <c r="I836" s="12">
        <v>0</v>
      </c>
      <c r="J836" s="12">
        <v>1</v>
      </c>
      <c r="K836" s="13" t="str">
        <f t="shared" si="168"/>
        <v>Twitter for Android</v>
      </c>
      <c r="L836" s="12">
        <v>920</v>
      </c>
      <c r="M836" s="12">
        <v>1261</v>
      </c>
      <c r="N836" s="12">
        <v>17</v>
      </c>
      <c r="O836" s="15"/>
      <c r="P836" s="6">
        <v>40538.362662037034</v>
      </c>
      <c r="Q836" s="16" t="s">
        <v>2026</v>
      </c>
      <c r="R836" s="17" t="s">
        <v>2027</v>
      </c>
      <c r="S836" s="11"/>
      <c r="T836" s="11"/>
      <c r="U836" s="10" t="str">
        <f>HYPERLINK("https://pbs.twimg.com/profile_images/1046689638834995200/tEKpksf7.jpg","View")</f>
        <v>View</v>
      </c>
    </row>
    <row r="837" spans="1:21" ht="40.799999999999997">
      <c r="A837" s="6">
        <v>43426.252280092594</v>
      </c>
      <c r="B837" s="7" t="str">
        <f>HYPERLINK("https://twitter.com/Marc_politologo","@Marc_politologo")</f>
        <v>@Marc_politologo</v>
      </c>
      <c r="C837" s="8" t="s">
        <v>5138</v>
      </c>
      <c r="D837" s="9" t="s">
        <v>5139</v>
      </c>
      <c r="E837" s="10" t="str">
        <f>HYPERLINK("https://twitter.com/Marc_politologo/status/1065606649417748482","1065606649417748482")</f>
        <v>1065606649417748482</v>
      </c>
      <c r="F837" s="11"/>
      <c r="G837" s="11"/>
      <c r="H837" s="11"/>
      <c r="I837" s="12">
        <v>0</v>
      </c>
      <c r="J837" s="12">
        <v>1</v>
      </c>
      <c r="K837" s="13" t="str">
        <f>HYPERLINK("http://twitter.com/download/iphone","Twitter for iPhone")</f>
        <v>Twitter for iPhone</v>
      </c>
      <c r="L837" s="12">
        <v>74</v>
      </c>
      <c r="M837" s="12">
        <v>257</v>
      </c>
      <c r="N837" s="12">
        <v>0</v>
      </c>
      <c r="O837" s="15"/>
      <c r="P837" s="6">
        <v>43252.661111111112</v>
      </c>
      <c r="Q837" s="16" t="s">
        <v>87</v>
      </c>
      <c r="R837" s="17" t="s">
        <v>5141</v>
      </c>
      <c r="S837" s="14" t="s">
        <v>5142</v>
      </c>
      <c r="T837" s="11"/>
      <c r="U837" s="10" t="str">
        <f>HYPERLINK("https://pbs.twimg.com/profile_images/1004134241083494402/B2DlSeCO.jpg","View")</f>
        <v>View</v>
      </c>
    </row>
    <row r="838" spans="1:21" ht="61.2">
      <c r="A838" s="6">
        <v>43426.251886574071</v>
      </c>
      <c r="B838" s="7" t="str">
        <f>HYPERLINK("https://twitter.com/usingneurons","@usingneurons")</f>
        <v>@usingneurons</v>
      </c>
      <c r="C838" s="8" t="s">
        <v>280</v>
      </c>
      <c r="D838" s="9" t="s">
        <v>2030</v>
      </c>
      <c r="E838" s="10" t="str">
        <f>HYPERLINK("https://twitter.com/usingneurons/status/1065606506672996352","1065606506672996352")</f>
        <v>1065606506672996352</v>
      </c>
      <c r="F838" s="11"/>
      <c r="G838" s="11"/>
      <c r="H838" s="11"/>
      <c r="I838" s="12">
        <v>0</v>
      </c>
      <c r="J838" s="12">
        <v>0</v>
      </c>
      <c r="K838" s="13" t="str">
        <f>HYPERLINK("http://twitter.com","Twitter Web Client")</f>
        <v>Twitter Web Client</v>
      </c>
      <c r="L838" s="12">
        <v>924</v>
      </c>
      <c r="M838" s="12">
        <v>894</v>
      </c>
      <c r="N838" s="12">
        <v>21</v>
      </c>
      <c r="O838" s="15"/>
      <c r="P838" s="6">
        <v>41781.407407407409</v>
      </c>
      <c r="Q838" s="11"/>
      <c r="R838" s="17" t="s">
        <v>286</v>
      </c>
      <c r="S838" s="11"/>
      <c r="T838" s="11"/>
      <c r="U838" s="10" t="str">
        <f>HYPERLINK("https://pbs.twimg.com/profile_images/497787841733066752/jnJEf2Rm.jpeg","View")</f>
        <v>View</v>
      </c>
    </row>
    <row r="839" spans="1:21" ht="40.799999999999997">
      <c r="A839" s="6">
        <v>43426.251145833332</v>
      </c>
      <c r="B839" s="7" t="str">
        <f>HYPERLINK("https://twitter.com/Alejandro_ram44","@Alejandro_ram44")</f>
        <v>@Alejandro_ram44</v>
      </c>
      <c r="C839" s="8" t="s">
        <v>2035</v>
      </c>
      <c r="D839" s="9" t="s">
        <v>2036</v>
      </c>
      <c r="E839" s="10" t="str">
        <f>HYPERLINK("https://twitter.com/Alejandro_ram44/status/1065606235951632384","1065606235951632384")</f>
        <v>1065606235951632384</v>
      </c>
      <c r="F839" s="14" t="s">
        <v>79</v>
      </c>
      <c r="G839" s="11"/>
      <c r="H839" s="11"/>
      <c r="I839" s="12">
        <v>0</v>
      </c>
      <c r="J839" s="12">
        <v>0</v>
      </c>
      <c r="K839" s="13" t="str">
        <f t="shared" ref="K839:K840" si="169">HYPERLINK("http://twitter.com/download/android","Twitter for Android")</f>
        <v>Twitter for Android</v>
      </c>
      <c r="L839" s="12">
        <v>68</v>
      </c>
      <c r="M839" s="12">
        <v>237</v>
      </c>
      <c r="N839" s="12">
        <v>1</v>
      </c>
      <c r="O839" s="15"/>
      <c r="P839" s="6">
        <v>42667.047638888893</v>
      </c>
      <c r="Q839" s="16" t="s">
        <v>231</v>
      </c>
      <c r="R839" s="17" t="s">
        <v>2038</v>
      </c>
      <c r="S839" s="11"/>
      <c r="T839" s="11"/>
      <c r="U839" s="10" t="str">
        <f>HYPERLINK("https://pbs.twimg.com/profile_images/1060589465155047426/_SWpr_zy.jpg","View")</f>
        <v>View</v>
      </c>
    </row>
    <row r="840" spans="1:21" ht="51">
      <c r="A840" s="6">
        <v>43426.249976851846</v>
      </c>
      <c r="B840" s="7" t="str">
        <f>HYPERLINK("https://twitter.com/PCA_sevilla","@PCA_sevilla")</f>
        <v>@PCA_sevilla</v>
      </c>
      <c r="C840" s="8" t="s">
        <v>2041</v>
      </c>
      <c r="D840" s="9" t="s">
        <v>2042</v>
      </c>
      <c r="E840" s="10" t="str">
        <f>HYPERLINK("https://twitter.com/PCA_sevilla/status/1065605811030945792","1065605811030945792")</f>
        <v>1065605811030945792</v>
      </c>
      <c r="F840" s="14" t="s">
        <v>141</v>
      </c>
      <c r="G840" s="11"/>
      <c r="H840" s="11"/>
      <c r="I840" s="12">
        <v>0</v>
      </c>
      <c r="J840" s="12">
        <v>0</v>
      </c>
      <c r="K840" s="13" t="str">
        <f t="shared" si="169"/>
        <v>Twitter for Android</v>
      </c>
      <c r="L840" s="12">
        <v>3072</v>
      </c>
      <c r="M840" s="12">
        <v>1052</v>
      </c>
      <c r="N840" s="12">
        <v>53</v>
      </c>
      <c r="O840" s="15"/>
      <c r="P840" s="6">
        <v>41086.171469907407</v>
      </c>
      <c r="Q840" s="16" t="s">
        <v>132</v>
      </c>
      <c r="R840" s="17" t="s">
        <v>2044</v>
      </c>
      <c r="S840" s="14" t="s">
        <v>2045</v>
      </c>
      <c r="T840" s="11"/>
      <c r="U840" s="10" t="str">
        <f>HYPERLINK("https://pbs.twimg.com/profile_images/948846796364754945/xG52MgLR.jpg","View")</f>
        <v>View</v>
      </c>
    </row>
    <row r="841" spans="1:21" ht="30.6">
      <c r="A841" s="6">
        <v>43426.249837962961</v>
      </c>
      <c r="B841" s="7" t="str">
        <f>HYPERLINK("https://twitter.com/ElAngelFacha","@ElAngelFacha")</f>
        <v>@ElAngelFacha</v>
      </c>
      <c r="C841" s="8" t="s">
        <v>5155</v>
      </c>
      <c r="D841" s="9" t="s">
        <v>5156</v>
      </c>
      <c r="E841" s="10" t="str">
        <f>HYPERLINK("https://twitter.com/ElAngelFacha/status/1065605762398003200","1065605762398003200")</f>
        <v>1065605762398003200</v>
      </c>
      <c r="F841" s="14" t="s">
        <v>5158</v>
      </c>
      <c r="G841" s="11"/>
      <c r="H841" s="11"/>
      <c r="I841" s="12">
        <v>16</v>
      </c>
      <c r="J841" s="12">
        <v>14</v>
      </c>
      <c r="K841" s="13" t="str">
        <f>HYPERLINK("http://twitter.com","Twitter Web Client")</f>
        <v>Twitter Web Client</v>
      </c>
      <c r="L841" s="12">
        <v>1109</v>
      </c>
      <c r="M841" s="12">
        <v>1522</v>
      </c>
      <c r="N841" s="12">
        <v>1</v>
      </c>
      <c r="O841" s="15"/>
      <c r="P841" s="6">
        <v>42923.553784722222</v>
      </c>
      <c r="Q841" s="16" t="s">
        <v>5162</v>
      </c>
      <c r="R841" s="17" t="s">
        <v>5163</v>
      </c>
      <c r="S841" s="11"/>
      <c r="T841" s="11"/>
      <c r="U841" s="10" t="str">
        <f>HYPERLINK("https://pbs.twimg.com/profile_images/1065214756913582080/fpMeP2qa.jpg","View")</f>
        <v>View</v>
      </c>
    </row>
    <row r="842" spans="1:21" ht="112.2">
      <c r="A842" s="6">
        <v>43426.248923611114</v>
      </c>
      <c r="B842" s="7" t="str">
        <f>HYPERLINK("https://twitter.com/Mdelabahia","@Mdelabahia")</f>
        <v>@Mdelabahia</v>
      </c>
      <c r="C842" s="8" t="s">
        <v>2046</v>
      </c>
      <c r="D842" s="9" t="s">
        <v>2047</v>
      </c>
      <c r="E842" s="10" t="str">
        <f>HYPERLINK("https://twitter.com/Mdelabahia/status/1065605431651905538","1065605431651905538")</f>
        <v>1065605431651905538</v>
      </c>
      <c r="F842" s="16" t="s">
        <v>2048</v>
      </c>
      <c r="G842" s="11"/>
      <c r="H842" s="11"/>
      <c r="I842" s="12">
        <v>0</v>
      </c>
      <c r="J842" s="12">
        <v>1</v>
      </c>
      <c r="K842" s="13" t="str">
        <f>HYPERLINK("http://twitter.com/download/iphone","Twitter for iPhone")</f>
        <v>Twitter for iPhone</v>
      </c>
      <c r="L842" s="12">
        <v>824</v>
      </c>
      <c r="M842" s="12">
        <v>466</v>
      </c>
      <c r="N842" s="12">
        <v>49</v>
      </c>
      <c r="O842" s="15"/>
      <c r="P842" s="6">
        <v>40296.600520833337</v>
      </c>
      <c r="Q842" s="11"/>
      <c r="R842" s="17" t="s">
        <v>2049</v>
      </c>
      <c r="S842" s="11"/>
      <c r="T842" s="11"/>
      <c r="U842" s="10" t="str">
        <f>HYPERLINK("https://pbs.twimg.com/profile_images/1048279952783802368/dTp_OFcM.jpg","View")</f>
        <v>View</v>
      </c>
    </row>
    <row r="843" spans="1:21" ht="30.6">
      <c r="A843" s="6">
        <v>43426.248888888891</v>
      </c>
      <c r="B843" s="7" t="str">
        <f>HYPERLINK("https://twitter.com/AguasNeutrales","@AguasNeutrales")</f>
        <v>@AguasNeutrales</v>
      </c>
      <c r="C843" s="8" t="s">
        <v>1901</v>
      </c>
      <c r="D843" s="9" t="s">
        <v>5167</v>
      </c>
      <c r="E843" s="10" t="str">
        <f>HYPERLINK("https://twitter.com/AguasNeutrales/status/1065605419631067136","1065605419631067136")</f>
        <v>1065605419631067136</v>
      </c>
      <c r="F843" s="14" t="s">
        <v>5169</v>
      </c>
      <c r="G843" s="14" t="s">
        <v>5170</v>
      </c>
      <c r="H843" s="11"/>
      <c r="I843" s="12">
        <v>0</v>
      </c>
      <c r="J843" s="12">
        <v>0</v>
      </c>
      <c r="K843" s="13" t="str">
        <f t="shared" ref="K843:K844" si="170">HYPERLINK("http://twitter.com","Twitter Web Client")</f>
        <v>Twitter Web Client</v>
      </c>
      <c r="L843" s="12">
        <v>841</v>
      </c>
      <c r="M843" s="12">
        <v>2073</v>
      </c>
      <c r="N843" s="12">
        <v>5</v>
      </c>
      <c r="O843" s="15"/>
      <c r="P843" s="6">
        <v>41801.927615740744</v>
      </c>
      <c r="Q843" s="11"/>
      <c r="R843" s="17" t="s">
        <v>1908</v>
      </c>
      <c r="S843" s="11"/>
      <c r="T843" s="11"/>
      <c r="U843" s="10" t="str">
        <f>HYPERLINK("https://pbs.twimg.com/profile_images/1008462024282689536/Q3Z1dTgf.jpg","View")</f>
        <v>View</v>
      </c>
    </row>
    <row r="844" spans="1:21" ht="51">
      <c r="A844" s="6">
        <v>43426.248657407406</v>
      </c>
      <c r="B844" s="7" t="str">
        <f>HYPERLINK("https://twitter.com/Rojillo2018","@Rojillo2018")</f>
        <v>@Rojillo2018</v>
      </c>
      <c r="C844" s="8" t="s">
        <v>347</v>
      </c>
      <c r="D844" s="9" t="s">
        <v>2050</v>
      </c>
      <c r="E844" s="10" t="str">
        <f>HYPERLINK("https://twitter.com/Rojillo2018/status/1065605336990711808","1065605336990711808")</f>
        <v>1065605336990711808</v>
      </c>
      <c r="F844" s="11"/>
      <c r="G844" s="14" t="s">
        <v>2051</v>
      </c>
      <c r="H844" s="11"/>
      <c r="I844" s="12">
        <v>3</v>
      </c>
      <c r="J844" s="12">
        <v>3</v>
      </c>
      <c r="K844" s="13" t="str">
        <f t="shared" si="170"/>
        <v>Twitter Web Client</v>
      </c>
      <c r="L844" s="12">
        <v>449</v>
      </c>
      <c r="M844" s="12">
        <v>1034</v>
      </c>
      <c r="N844" s="12">
        <v>1</v>
      </c>
      <c r="O844" s="15"/>
      <c r="P844" s="6">
        <v>43416.25675925926</v>
      </c>
      <c r="Q844" s="16" t="s">
        <v>352</v>
      </c>
      <c r="R844" s="17" t="s">
        <v>353</v>
      </c>
      <c r="S844" s="11"/>
      <c r="T844" s="11"/>
      <c r="U844" s="10" t="str">
        <f>HYPERLINK("https://pbs.twimg.com/profile_images/1063905639091642369/tNutwQbh.jpg","View")</f>
        <v>View</v>
      </c>
    </row>
    <row r="845" spans="1:21" ht="30.6">
      <c r="A845" s="6">
        <v>43426.248518518521</v>
      </c>
      <c r="B845" s="7" t="str">
        <f>HYPERLINK("https://twitter.com/MarcRoles","@MarcRoles")</f>
        <v>@MarcRoles</v>
      </c>
      <c r="C845" s="8" t="s">
        <v>5177</v>
      </c>
      <c r="D845" s="9" t="s">
        <v>3304</v>
      </c>
      <c r="E845" s="10" t="str">
        <f>HYPERLINK("https://twitter.com/MarcRoles/status/1065605286436749317","1065605286436749317")</f>
        <v>1065605286436749317</v>
      </c>
      <c r="F845" s="11"/>
      <c r="G845" s="11"/>
      <c r="H845" s="11"/>
      <c r="I845" s="12">
        <v>0</v>
      </c>
      <c r="J845" s="12">
        <v>0</v>
      </c>
      <c r="K845" s="13" t="str">
        <f t="shared" ref="K845:K848" si="171">HYPERLINK("http://twitter.com/download/android","Twitter for Android")</f>
        <v>Twitter for Android</v>
      </c>
      <c r="L845" s="12">
        <v>58</v>
      </c>
      <c r="M845" s="12">
        <v>253</v>
      </c>
      <c r="N845" s="12">
        <v>0</v>
      </c>
      <c r="O845" s="15"/>
      <c r="P845" s="6">
        <v>41652.424328703702</v>
      </c>
      <c r="Q845" s="16" t="s">
        <v>5180</v>
      </c>
      <c r="R845" s="17" t="s">
        <v>5181</v>
      </c>
      <c r="S845" s="14" t="s">
        <v>5182</v>
      </c>
      <c r="T845" s="11"/>
      <c r="U845" s="10" t="str">
        <f>HYPERLINK("https://pbs.twimg.com/profile_images/1064968300420128768/TUgevsB9.jpg","View")</f>
        <v>View</v>
      </c>
    </row>
    <row r="846" spans="1:21" ht="30.6">
      <c r="A846" s="6">
        <v>43426.247245370367</v>
      </c>
      <c r="B846" s="7" t="str">
        <f>HYPERLINK("https://twitter.com/sadtorchdays","@sadtorchdays")</f>
        <v>@sadtorchdays</v>
      </c>
      <c r="C846" s="8" t="s">
        <v>5187</v>
      </c>
      <c r="D846" s="9" t="s">
        <v>3304</v>
      </c>
      <c r="E846" s="10" t="str">
        <f>HYPERLINK("https://twitter.com/sadtorchdays/status/1065604823268163584","1065604823268163584")</f>
        <v>1065604823268163584</v>
      </c>
      <c r="F846" s="11"/>
      <c r="G846" s="11"/>
      <c r="H846" s="11"/>
      <c r="I846" s="12">
        <v>0</v>
      </c>
      <c r="J846" s="12">
        <v>4</v>
      </c>
      <c r="K846" s="13" t="str">
        <f t="shared" si="171"/>
        <v>Twitter for Android</v>
      </c>
      <c r="L846" s="12">
        <v>104</v>
      </c>
      <c r="M846" s="12">
        <v>95</v>
      </c>
      <c r="N846" s="12">
        <v>0</v>
      </c>
      <c r="O846" s="15"/>
      <c r="P846" s="6">
        <v>43416.288946759261</v>
      </c>
      <c r="Q846" s="11"/>
      <c r="R846" s="17" t="s">
        <v>5189</v>
      </c>
      <c r="S846" s="11"/>
      <c r="T846" s="11"/>
      <c r="U846" s="10" t="str">
        <f>HYPERLINK("https://pbs.twimg.com/profile_images/1065016709025857537/oo2KOsJS.jpg","View")</f>
        <v>View</v>
      </c>
    </row>
    <row r="847" spans="1:21" ht="91.8">
      <c r="A847" s="6">
        <v>43426.246585648143</v>
      </c>
      <c r="B847" s="7" t="str">
        <f>HYPERLINK("https://twitter.com/IlustradaM","@IlustradaM")</f>
        <v>@IlustradaM</v>
      </c>
      <c r="C847" s="8" t="s">
        <v>5190</v>
      </c>
      <c r="D847" s="9" t="s">
        <v>5191</v>
      </c>
      <c r="E847" s="10" t="str">
        <f>HYPERLINK("https://twitter.com/IlustradaM/status/1065604582334767105","1065604582334767105")</f>
        <v>1065604582334767105</v>
      </c>
      <c r="F847" s="14" t="s">
        <v>5193</v>
      </c>
      <c r="G847" s="11"/>
      <c r="H847" s="11"/>
      <c r="I847" s="12">
        <v>0</v>
      </c>
      <c r="J847" s="12">
        <v>0</v>
      </c>
      <c r="K847" s="13" t="str">
        <f t="shared" si="171"/>
        <v>Twitter for Android</v>
      </c>
      <c r="L847" s="12">
        <v>163</v>
      </c>
      <c r="M847" s="12">
        <v>338</v>
      </c>
      <c r="N847" s="12">
        <v>3</v>
      </c>
      <c r="O847" s="15"/>
      <c r="P847" s="6">
        <v>43227.063761574071</v>
      </c>
      <c r="Q847" s="11"/>
      <c r="R847" s="17" t="s">
        <v>5194</v>
      </c>
      <c r="S847" s="11"/>
      <c r="T847" s="11"/>
      <c r="U847" s="10" t="str">
        <f>HYPERLINK("https://pbs.twimg.com/profile_images/1055507294266494976/JSBPSKep.jpg","View")</f>
        <v>View</v>
      </c>
    </row>
    <row r="848" spans="1:21" ht="30.6">
      <c r="A848" s="6">
        <v>43426.244791666672</v>
      </c>
      <c r="B848" s="7" t="str">
        <f>HYPERLINK("https://twitter.com/Cojonesdepolla","@Cojonesdepolla")</f>
        <v>@Cojonesdepolla</v>
      </c>
      <c r="C848" s="8" t="s">
        <v>5195</v>
      </c>
      <c r="D848" s="9" t="s">
        <v>3304</v>
      </c>
      <c r="E848" s="10" t="str">
        <f>HYPERLINK("https://twitter.com/Cojonesdepolla/status/1065603932096000000","1065603932096000000")</f>
        <v>1065603932096000000</v>
      </c>
      <c r="F848" s="11"/>
      <c r="G848" s="11"/>
      <c r="H848" s="11"/>
      <c r="I848" s="12">
        <v>0</v>
      </c>
      <c r="J848" s="12">
        <v>2</v>
      </c>
      <c r="K848" s="13" t="str">
        <f t="shared" si="171"/>
        <v>Twitter for Android</v>
      </c>
      <c r="L848" s="12">
        <v>168</v>
      </c>
      <c r="M848" s="12">
        <v>103</v>
      </c>
      <c r="N848" s="12">
        <v>0</v>
      </c>
      <c r="O848" s="15"/>
      <c r="P848" s="6">
        <v>42704.278506944444</v>
      </c>
      <c r="Q848" s="16" t="s">
        <v>5198</v>
      </c>
      <c r="R848" s="17" t="s">
        <v>5199</v>
      </c>
      <c r="S848" s="14" t="s">
        <v>5200</v>
      </c>
      <c r="T848" s="11"/>
      <c r="U848" s="10" t="str">
        <f>HYPERLINK("https://pbs.twimg.com/profile_images/1060275279434825728/WPmMdvxa.jpg","View")</f>
        <v>View</v>
      </c>
    </row>
    <row r="849" spans="1:21" ht="61.2">
      <c r="A849" s="6">
        <v>43426.243981481486</v>
      </c>
      <c r="B849" s="7" t="str">
        <f>HYPERLINK("https://twitter.com/petroleo52","@petroleo52")</f>
        <v>@petroleo52</v>
      </c>
      <c r="C849" s="8" t="s">
        <v>2052</v>
      </c>
      <c r="D849" s="9" t="s">
        <v>2053</v>
      </c>
      <c r="E849" s="10" t="str">
        <f>HYPERLINK("https://twitter.com/petroleo52/status/1065603640281497600","1065603640281497600")</f>
        <v>1065603640281497600</v>
      </c>
      <c r="F849" s="14" t="s">
        <v>2054</v>
      </c>
      <c r="G849" s="14" t="s">
        <v>2055</v>
      </c>
      <c r="H849" s="11"/>
      <c r="I849" s="12">
        <v>1</v>
      </c>
      <c r="J849" s="12">
        <v>0</v>
      </c>
      <c r="K849" s="13" t="str">
        <f t="shared" ref="K849:K850" si="172">HYPERLINK("http://twitter.com/download/iphone","Twitter for iPhone")</f>
        <v>Twitter for iPhone</v>
      </c>
      <c r="L849" s="12">
        <v>826</v>
      </c>
      <c r="M849" s="12">
        <v>1064</v>
      </c>
      <c r="N849" s="12">
        <v>6</v>
      </c>
      <c r="O849" s="15"/>
      <c r="P849" s="6">
        <v>40452.626342592594</v>
      </c>
      <c r="Q849" s="16" t="s">
        <v>2056</v>
      </c>
      <c r="R849" s="19"/>
      <c r="S849" s="14" t="s">
        <v>2057</v>
      </c>
      <c r="T849" s="11"/>
      <c r="U849" s="10" t="str">
        <f>HYPERLINK("https://pbs.twimg.com/profile_images/629849919889670144/MpJKYSJk.jpg","View")</f>
        <v>View</v>
      </c>
    </row>
    <row r="850" spans="1:21" ht="91.8">
      <c r="A850" s="6">
        <v>43426.242905092593</v>
      </c>
      <c r="B850" s="7" t="str">
        <f>HYPERLINK("https://twitter.com/Adolfo_ASEVED","@Adolfo_ASEVED")</f>
        <v>@Adolfo_ASEVED</v>
      </c>
      <c r="C850" s="8" t="s">
        <v>2060</v>
      </c>
      <c r="D850" s="9" t="s">
        <v>2061</v>
      </c>
      <c r="E850" s="10" t="str">
        <f>HYPERLINK("https://twitter.com/Adolfo_ASEVED/status/1065603249116495873","1065603249116495873")</f>
        <v>1065603249116495873</v>
      </c>
      <c r="F850" s="14" t="s">
        <v>2063</v>
      </c>
      <c r="G850" s="14" t="s">
        <v>2065</v>
      </c>
      <c r="H850" s="11"/>
      <c r="I850" s="12">
        <v>16</v>
      </c>
      <c r="J850" s="12">
        <v>18</v>
      </c>
      <c r="K850" s="13" t="str">
        <f t="shared" si="172"/>
        <v>Twitter for iPhone</v>
      </c>
      <c r="L850" s="12">
        <v>1075</v>
      </c>
      <c r="M850" s="12">
        <v>380</v>
      </c>
      <c r="N850" s="12">
        <v>13</v>
      </c>
      <c r="O850" s="15"/>
      <c r="P850" s="6">
        <v>42102.371030092589</v>
      </c>
      <c r="Q850" s="16" t="s">
        <v>2068</v>
      </c>
      <c r="R850" s="17" t="s">
        <v>2069</v>
      </c>
      <c r="S850" s="11"/>
      <c r="T850" s="11"/>
      <c r="U850" s="10" t="str">
        <f>HYPERLINK("https://pbs.twimg.com/profile_images/636598767731519488/3yUwGZg5.jpg","View")</f>
        <v>View</v>
      </c>
    </row>
    <row r="851" spans="1:21" ht="30.6">
      <c r="A851" s="6">
        <v>43426.241122685184</v>
      </c>
      <c r="B851" s="7" t="str">
        <f>HYPERLINK("https://twitter.com/Karlll_Marx","@Karlll_Marx")</f>
        <v>@Karlll_Marx</v>
      </c>
      <c r="C851" s="8" t="s">
        <v>5213</v>
      </c>
      <c r="D851" s="9" t="s">
        <v>5214</v>
      </c>
      <c r="E851" s="10" t="str">
        <f>HYPERLINK("https://twitter.com/Karlll_Marx/status/1065602606108684289","1065602606108684289")</f>
        <v>1065602606108684289</v>
      </c>
      <c r="F851" s="11"/>
      <c r="G851" s="11"/>
      <c r="H851" s="11"/>
      <c r="I851" s="12">
        <v>1</v>
      </c>
      <c r="J851" s="12">
        <v>6</v>
      </c>
      <c r="K851" s="13" t="str">
        <f>HYPERLINK("https://mobile.twitter.com","Twitter Lite")</f>
        <v>Twitter Lite</v>
      </c>
      <c r="L851" s="12">
        <v>1957</v>
      </c>
      <c r="M851" s="12">
        <v>667</v>
      </c>
      <c r="N851" s="12">
        <v>13</v>
      </c>
      <c r="O851" s="15"/>
      <c r="P851" s="6">
        <v>42916.604490740741</v>
      </c>
      <c r="Q851" s="11"/>
      <c r="R851" s="17" t="s">
        <v>5219</v>
      </c>
      <c r="S851" s="11"/>
      <c r="T851" s="11"/>
      <c r="U851" s="10" t="str">
        <f>HYPERLINK("https://pbs.twimg.com/profile_images/999728513803522050/mPfW_XJb.jpg","View")</f>
        <v>View</v>
      </c>
    </row>
    <row r="852" spans="1:21" ht="51">
      <c r="A852" s="6">
        <v>43426.239224537036</v>
      </c>
      <c r="B852" s="7" t="str">
        <f>HYPERLINK("https://twitter.com/juanmalpr","@juanmalpr")</f>
        <v>@juanmalpr</v>
      </c>
      <c r="C852" s="8" t="s">
        <v>1640</v>
      </c>
      <c r="D852" s="9" t="s">
        <v>5222</v>
      </c>
      <c r="E852" s="10" t="str">
        <f>HYPERLINK("https://twitter.com/juanmalpr/status/1065601917206888448","1065601917206888448")</f>
        <v>1065601917206888448</v>
      </c>
      <c r="F852" s="11"/>
      <c r="G852" s="11"/>
      <c r="H852" s="11"/>
      <c r="I852" s="12">
        <v>297</v>
      </c>
      <c r="J852" s="12">
        <v>387</v>
      </c>
      <c r="K852" s="13" t="str">
        <f t="shared" ref="K852:K853" si="173">HYPERLINK("http://twitter.com","Twitter Web Client")</f>
        <v>Twitter Web Client</v>
      </c>
      <c r="L852" s="12">
        <v>11748</v>
      </c>
      <c r="M852" s="12">
        <v>618</v>
      </c>
      <c r="N852" s="12">
        <v>205</v>
      </c>
      <c r="O852" s="18" t="s">
        <v>52</v>
      </c>
      <c r="P852" s="6">
        <v>39828.192499999997</v>
      </c>
      <c r="Q852" s="11"/>
      <c r="R852" s="17" t="s">
        <v>1643</v>
      </c>
      <c r="S852" s="14" t="s">
        <v>1644</v>
      </c>
      <c r="T852" s="11"/>
      <c r="U852" s="10" t="str">
        <f>HYPERLINK("https://pbs.twimg.com/profile_images/1055955191512686593/B9gx6AH6.jpg","View")</f>
        <v>View</v>
      </c>
    </row>
    <row r="853" spans="1:21" ht="20.399999999999999">
      <c r="A853" s="6">
        <v>43426.238564814819</v>
      </c>
      <c r="B853" s="7" t="str">
        <f>HYPERLINK("https://twitter.com/lugani_luis","@lugani_luis")</f>
        <v>@lugani_luis</v>
      </c>
      <c r="C853" s="8" t="s">
        <v>5225</v>
      </c>
      <c r="D853" s="9" t="s">
        <v>768</v>
      </c>
      <c r="E853" s="10" t="str">
        <f>HYPERLINK("https://twitter.com/lugani_luis/status/1065601675694665729","1065601675694665729")</f>
        <v>1065601675694665729</v>
      </c>
      <c r="F853" s="14" t="s">
        <v>529</v>
      </c>
      <c r="G853" s="11"/>
      <c r="H853" s="11"/>
      <c r="I853" s="12">
        <v>0</v>
      </c>
      <c r="J853" s="12">
        <v>1</v>
      </c>
      <c r="K853" s="13" t="str">
        <f t="shared" si="173"/>
        <v>Twitter Web Client</v>
      </c>
      <c r="L853" s="12">
        <v>55</v>
      </c>
      <c r="M853" s="12">
        <v>238</v>
      </c>
      <c r="N853" s="12">
        <v>0</v>
      </c>
      <c r="O853" s="15"/>
      <c r="P853" s="6">
        <v>41532.120335648149</v>
      </c>
      <c r="Q853" s="11"/>
      <c r="R853" s="19"/>
      <c r="S853" s="11"/>
      <c r="T853" s="11"/>
      <c r="U853" s="10" t="str">
        <f>HYPERLINK("https://pbs.twimg.com/profile_images/566274655812481025/P4omeFqU.jpeg","View")</f>
        <v>View</v>
      </c>
    </row>
    <row r="854" spans="1:21" ht="20.399999999999999">
      <c r="A854" s="6">
        <v>43426.237314814818</v>
      </c>
      <c r="B854" s="7" t="str">
        <f>HYPERLINK("https://twitter.com/AlfredoCRDI","@AlfredoCRDI")</f>
        <v>@AlfredoCRDI</v>
      </c>
      <c r="C854" s="8" t="s">
        <v>5228</v>
      </c>
      <c r="D854" s="9" t="s">
        <v>2895</v>
      </c>
      <c r="E854" s="10" t="str">
        <f>HYPERLINK("https://twitter.com/AlfredoCRDI/status/1065601225511628801","1065601225511628801")</f>
        <v>1065601225511628801</v>
      </c>
      <c r="F854" s="14" t="s">
        <v>529</v>
      </c>
      <c r="G854" s="11"/>
      <c r="H854" s="11"/>
      <c r="I854" s="12">
        <v>0</v>
      </c>
      <c r="J854" s="12">
        <v>0</v>
      </c>
      <c r="K854" s="13" t="str">
        <f>HYPERLINK("http://twitter.com/#!/download/ipad","Twitter for iPad")</f>
        <v>Twitter for iPad</v>
      </c>
      <c r="L854" s="12">
        <v>22</v>
      </c>
      <c r="M854" s="12">
        <v>109</v>
      </c>
      <c r="N854" s="12">
        <v>0</v>
      </c>
      <c r="O854" s="15"/>
      <c r="P854" s="6">
        <v>43398.809699074074</v>
      </c>
      <c r="Q854" s="11"/>
      <c r="R854" s="19"/>
      <c r="S854" s="11"/>
      <c r="T854" s="11"/>
      <c r="U854" s="10" t="str">
        <f>HYPERLINK("https://pbs.twimg.com/profile_images/1055647113122586624/8rLpC8np.jpg","View")</f>
        <v>View</v>
      </c>
    </row>
    <row r="855" spans="1:21" ht="61.2">
      <c r="A855" s="6">
        <v>43426.236886574072</v>
      </c>
      <c r="B855" s="7" t="str">
        <f>HYPERLINK("https://twitter.com/RodrigoPerezDeG","@RodrigoPerezDeG")</f>
        <v>@RodrigoPerezDeG</v>
      </c>
      <c r="C855" s="8" t="s">
        <v>970</v>
      </c>
      <c r="D855" s="9" t="s">
        <v>2072</v>
      </c>
      <c r="E855" s="10" t="str">
        <f>HYPERLINK("https://twitter.com/RodrigoPerezDeG/status/1065601069303177216","1065601069303177216")</f>
        <v>1065601069303177216</v>
      </c>
      <c r="F855" s="16" t="s">
        <v>1112</v>
      </c>
      <c r="G855" s="11"/>
      <c r="H855" s="11"/>
      <c r="I855" s="12">
        <v>0</v>
      </c>
      <c r="J855" s="12">
        <v>1</v>
      </c>
      <c r="K855" s="13" t="str">
        <f t="shared" ref="K855:K856" si="174">HYPERLINK("http://twitter.com/download/android","Twitter for Android")</f>
        <v>Twitter for Android</v>
      </c>
      <c r="L855" s="12">
        <v>580</v>
      </c>
      <c r="M855" s="12">
        <v>622</v>
      </c>
      <c r="N855" s="12">
        <v>0</v>
      </c>
      <c r="O855" s="15"/>
      <c r="P855" s="6">
        <v>43355.470358796301</v>
      </c>
      <c r="Q855" s="16" t="s">
        <v>974</v>
      </c>
      <c r="R855" s="17" t="s">
        <v>976</v>
      </c>
      <c r="S855" s="14" t="s">
        <v>978</v>
      </c>
      <c r="T855" s="11"/>
      <c r="U855" s="10" t="str">
        <f>HYPERLINK("https://pbs.twimg.com/profile_images/1044473020432175104/WhRCDKJS.jpg","View")</f>
        <v>View</v>
      </c>
    </row>
    <row r="856" spans="1:21" ht="71.400000000000006">
      <c r="A856" s="6">
        <v>43426.234328703707</v>
      </c>
      <c r="B856" s="7" t="str">
        <f>HYPERLINK("https://twitter.com/mas24661","@mas24661")</f>
        <v>@mas24661</v>
      </c>
      <c r="C856" s="8" t="s">
        <v>5240</v>
      </c>
      <c r="D856" s="9" t="s">
        <v>5241</v>
      </c>
      <c r="E856" s="10" t="str">
        <f>HYPERLINK("https://twitter.com/mas24661/status/1065600143377031168","1065600143377031168")</f>
        <v>1065600143377031168</v>
      </c>
      <c r="F856" s="14" t="s">
        <v>5242</v>
      </c>
      <c r="G856" s="11"/>
      <c r="H856" s="11"/>
      <c r="I856" s="12">
        <v>0</v>
      </c>
      <c r="J856" s="12">
        <v>0</v>
      </c>
      <c r="K856" s="13" t="str">
        <f t="shared" si="174"/>
        <v>Twitter for Android</v>
      </c>
      <c r="L856" s="12">
        <v>987</v>
      </c>
      <c r="M856" s="12">
        <v>1835</v>
      </c>
      <c r="N856" s="12">
        <v>4</v>
      </c>
      <c r="O856" s="15"/>
      <c r="P856" s="6">
        <v>41253.641574074078</v>
      </c>
      <c r="Q856" s="11"/>
      <c r="R856" s="17" t="s">
        <v>5243</v>
      </c>
      <c r="S856" s="11"/>
      <c r="T856" s="11"/>
      <c r="U856" s="10" t="str">
        <f>HYPERLINK("https://pbs.twimg.com/profile_images/2982794609/2284490b4a8ed7b7de23475211a80d28.jpeg","View")</f>
        <v>View</v>
      </c>
    </row>
    <row r="857" spans="1:21" ht="30.6">
      <c r="A857" s="6">
        <v>43426.232974537037</v>
      </c>
      <c r="B857" s="7" t="str">
        <f>HYPERLINK("https://twitter.com/TGN_Centre","@TGN_Centre")</f>
        <v>@TGN_Centre</v>
      </c>
      <c r="C857" s="8" t="s">
        <v>5245</v>
      </c>
      <c r="D857" s="9" t="s">
        <v>5246</v>
      </c>
      <c r="E857" s="10" t="str">
        <f>HYPERLINK("https://twitter.com/TGN_Centre/status/1065599652584701952","1065599652584701952")</f>
        <v>1065599652584701952</v>
      </c>
      <c r="F857" s="14" t="s">
        <v>96</v>
      </c>
      <c r="G857" s="11"/>
      <c r="H857" s="11"/>
      <c r="I857" s="12">
        <v>0</v>
      </c>
      <c r="J857" s="12">
        <v>0</v>
      </c>
      <c r="K857" s="13" t="str">
        <f>HYPERLINK("http://www.facebook.com/twitter","Facebook")</f>
        <v>Facebook</v>
      </c>
      <c r="L857" s="12">
        <v>515</v>
      </c>
      <c r="M857" s="12">
        <v>1330</v>
      </c>
      <c r="N857" s="12">
        <v>15</v>
      </c>
      <c r="O857" s="15"/>
      <c r="P857" s="6">
        <v>42077.630185185189</v>
      </c>
      <c r="Q857" s="16" t="s">
        <v>5249</v>
      </c>
      <c r="R857" s="17" t="s">
        <v>5250</v>
      </c>
      <c r="S857" s="14" t="s">
        <v>5251</v>
      </c>
      <c r="T857" s="11"/>
      <c r="U857" s="10" t="str">
        <f>HYPERLINK("https://pbs.twimg.com/profile_images/707898815207096321/4qS1lje6.jpg","View")</f>
        <v>View</v>
      </c>
    </row>
    <row r="858" spans="1:21" ht="61.2">
      <c r="A858" s="6">
        <v>43426.231990740736</v>
      </c>
      <c r="B858" s="7" t="str">
        <f>HYPERLINK("https://twitter.com/petroleo52","@petroleo52")</f>
        <v>@petroleo52</v>
      </c>
      <c r="C858" s="8" t="s">
        <v>2052</v>
      </c>
      <c r="D858" s="9" t="s">
        <v>2073</v>
      </c>
      <c r="E858" s="10" t="str">
        <f>HYPERLINK("https://twitter.com/petroleo52/status/1065599294768594944","1065599294768594944")</f>
        <v>1065599294768594944</v>
      </c>
      <c r="F858" s="11"/>
      <c r="G858" s="14" t="s">
        <v>2074</v>
      </c>
      <c r="H858" s="11"/>
      <c r="I858" s="12">
        <v>5</v>
      </c>
      <c r="J858" s="12">
        <v>0</v>
      </c>
      <c r="K858" s="13" t="str">
        <f>HYPERLINK("http://twitter.com/download/iphone","Twitter for iPhone")</f>
        <v>Twitter for iPhone</v>
      </c>
      <c r="L858" s="12">
        <v>826</v>
      </c>
      <c r="M858" s="12">
        <v>1064</v>
      </c>
      <c r="N858" s="12">
        <v>6</v>
      </c>
      <c r="O858" s="15"/>
      <c r="P858" s="6">
        <v>40452.626342592594</v>
      </c>
      <c r="Q858" s="16" t="s">
        <v>2056</v>
      </c>
      <c r="R858" s="19"/>
      <c r="S858" s="14" t="s">
        <v>2057</v>
      </c>
      <c r="T858" s="11"/>
      <c r="U858" s="10" t="str">
        <f>HYPERLINK("https://pbs.twimg.com/profile_images/629849919889670144/MpJKYSJk.jpg","View")</f>
        <v>View</v>
      </c>
    </row>
    <row r="859" spans="1:21" ht="40.799999999999997">
      <c r="A859" s="6">
        <v>43426.231354166666</v>
      </c>
      <c r="B859" s="7" t="str">
        <f>HYPERLINK("https://twitter.com/Joufast","@Joufast")</f>
        <v>@Joufast</v>
      </c>
      <c r="C859" s="8" t="s">
        <v>5260</v>
      </c>
      <c r="D859" s="9" t="s">
        <v>5261</v>
      </c>
      <c r="E859" s="10" t="str">
        <f>HYPERLINK("https://twitter.com/Joufast/status/1065599065025581058","1065599065025581058")</f>
        <v>1065599065025581058</v>
      </c>
      <c r="F859" s="11"/>
      <c r="G859" s="11"/>
      <c r="H859" s="11"/>
      <c r="I859" s="12">
        <v>0</v>
      </c>
      <c r="J859" s="12">
        <v>0</v>
      </c>
      <c r="K859" s="13" t="str">
        <f>HYPERLINK("http://twitter.com/download/android","Twitter for Android")</f>
        <v>Twitter for Android</v>
      </c>
      <c r="L859" s="12">
        <v>185</v>
      </c>
      <c r="M859" s="12">
        <v>392</v>
      </c>
      <c r="N859" s="12">
        <v>3</v>
      </c>
      <c r="O859" s="15"/>
      <c r="P859" s="6">
        <v>41123.624953703707</v>
      </c>
      <c r="Q859" s="11"/>
      <c r="R859" s="17" t="s">
        <v>5266</v>
      </c>
      <c r="S859" s="11"/>
      <c r="T859" s="11"/>
      <c r="U859" s="10" t="str">
        <f>HYPERLINK("https://pbs.twimg.com/profile_images/993414718554550274/ypF2jy2t.jpg","View")</f>
        <v>View</v>
      </c>
    </row>
    <row r="860" spans="1:21" ht="30.6">
      <c r="A860" s="6">
        <v>43426.229768518519</v>
      </c>
      <c r="B860" s="7" t="str">
        <f>HYPERLINK("https://twitter.com/rainboeah","@rainboeah")</f>
        <v>@rainboeah</v>
      </c>
      <c r="C860" s="8" t="s">
        <v>5268</v>
      </c>
      <c r="D860" s="9" t="s">
        <v>3304</v>
      </c>
      <c r="E860" s="10" t="str">
        <f>HYPERLINK("https://twitter.com/rainboeah/status/1065598490233974784","1065598490233974784")</f>
        <v>1065598490233974784</v>
      </c>
      <c r="F860" s="11"/>
      <c r="G860" s="11"/>
      <c r="H860" s="11"/>
      <c r="I860" s="12">
        <v>0</v>
      </c>
      <c r="J860" s="12">
        <v>0</v>
      </c>
      <c r="K860" s="13" t="str">
        <f t="shared" ref="K860:K861" si="175">HYPERLINK("http://twitter.com","Twitter Web Client")</f>
        <v>Twitter Web Client</v>
      </c>
      <c r="L860" s="12">
        <v>204</v>
      </c>
      <c r="M860" s="12">
        <v>118</v>
      </c>
      <c r="N860" s="12">
        <v>9</v>
      </c>
      <c r="O860" s="15"/>
      <c r="P860" s="6">
        <v>41347.458900462967</v>
      </c>
      <c r="Q860" s="16" t="s">
        <v>4425</v>
      </c>
      <c r="R860" s="17" t="s">
        <v>5270</v>
      </c>
      <c r="S860" s="14" t="s">
        <v>5271</v>
      </c>
      <c r="T860" s="11"/>
      <c r="U860" s="10" t="str">
        <f>HYPERLINK("https://pbs.twimg.com/profile_images/1061263732205072384/xLCjF0WD.jpg","View")</f>
        <v>View</v>
      </c>
    </row>
    <row r="861" spans="1:21" ht="61.2">
      <c r="A861" s="6">
        <v>43426.229131944448</v>
      </c>
      <c r="B861" s="7" t="str">
        <f>HYPERLINK("https://twitter.com/andresdelcas","@andresdelcas")</f>
        <v>@andresdelcas</v>
      </c>
      <c r="C861" s="8" t="s">
        <v>2075</v>
      </c>
      <c r="D861" s="9" t="s">
        <v>2076</v>
      </c>
      <c r="E861" s="10" t="str">
        <f>HYPERLINK("https://twitter.com/andresdelcas/status/1065598260696530944","1065598260696530944")</f>
        <v>1065598260696530944</v>
      </c>
      <c r="F861" s="16" t="s">
        <v>2077</v>
      </c>
      <c r="G861" s="11"/>
      <c r="H861" s="11"/>
      <c r="I861" s="12">
        <v>1</v>
      </c>
      <c r="J861" s="12">
        <v>1</v>
      </c>
      <c r="K861" s="13" t="str">
        <f t="shared" si="175"/>
        <v>Twitter Web Client</v>
      </c>
      <c r="L861" s="12">
        <v>630</v>
      </c>
      <c r="M861" s="12">
        <v>1339</v>
      </c>
      <c r="N861" s="12">
        <v>25</v>
      </c>
      <c r="O861" s="15"/>
      <c r="P861" s="6">
        <v>41203.557245370372</v>
      </c>
      <c r="Q861" s="16" t="s">
        <v>2078</v>
      </c>
      <c r="R861" s="17" t="s">
        <v>2079</v>
      </c>
      <c r="S861" s="14" t="s">
        <v>2080</v>
      </c>
      <c r="T861" s="11"/>
      <c r="U861" s="10" t="str">
        <f>HYPERLINK("https://pbs.twimg.com/profile_images/767652776482598912/Xq5xUxFE.jpg","View")</f>
        <v>View</v>
      </c>
    </row>
    <row r="862" spans="1:21" ht="51">
      <c r="A862" s="6">
        <v>43426.229097222225</v>
      </c>
      <c r="B862" s="7" t="str">
        <f>HYPERLINK("https://twitter.com/XiphosFlow","@XiphosFlow")</f>
        <v>@XiphosFlow</v>
      </c>
      <c r="C862" s="8" t="s">
        <v>2081</v>
      </c>
      <c r="D862" s="9" t="s">
        <v>2082</v>
      </c>
      <c r="E862" s="10" t="str">
        <f>HYPERLINK("https://twitter.com/XiphosFlow/status/1065598246226223104","1065598246226223104")</f>
        <v>1065598246226223104</v>
      </c>
      <c r="F862" s="11"/>
      <c r="G862" s="11"/>
      <c r="H862" s="11"/>
      <c r="I862" s="12">
        <v>0</v>
      </c>
      <c r="J862" s="12">
        <v>0</v>
      </c>
      <c r="K862" s="13" t="str">
        <f>HYPERLINK("http://twitter.com/download/android","Twitter for Android")</f>
        <v>Twitter for Android</v>
      </c>
      <c r="L862" s="12">
        <v>130</v>
      </c>
      <c r="M862" s="12">
        <v>223</v>
      </c>
      <c r="N862" s="12">
        <v>0</v>
      </c>
      <c r="O862" s="15"/>
      <c r="P862" s="6">
        <v>40548.761261574073</v>
      </c>
      <c r="Q862" s="16" t="s">
        <v>2083</v>
      </c>
      <c r="R862" s="17" t="s">
        <v>2084</v>
      </c>
      <c r="S862" s="11"/>
      <c r="T862" s="11"/>
      <c r="U862" s="10" t="str">
        <f>HYPERLINK("https://pbs.twimg.com/profile_images/1047225272435654656/WRIQuMvG.jpg","View")</f>
        <v>View</v>
      </c>
    </row>
    <row r="863" spans="1:21" ht="51">
      <c r="A863" s="6">
        <v>43426.229074074072</v>
      </c>
      <c r="B863" s="7" t="str">
        <f>HYPERLINK("https://twitter.com/viriatoasesores","@viriatoasesores")</f>
        <v>@viriatoasesores</v>
      </c>
      <c r="C863" s="8" t="s">
        <v>2085</v>
      </c>
      <c r="D863" s="9" t="s">
        <v>2086</v>
      </c>
      <c r="E863" s="10" t="str">
        <f>HYPERLINK("https://twitter.com/viriatoasesores/status/1065598238970036224","1065598238970036224")</f>
        <v>1065598238970036224</v>
      </c>
      <c r="F863" s="14" t="s">
        <v>2087</v>
      </c>
      <c r="G863" s="11"/>
      <c r="H863" s="11"/>
      <c r="I863" s="12">
        <v>0</v>
      </c>
      <c r="J863" s="12">
        <v>0</v>
      </c>
      <c r="K863" s="13" t="str">
        <f>HYPERLINK("http://twitter.com/#!/download/ipad","Twitter for iPad")</f>
        <v>Twitter for iPad</v>
      </c>
      <c r="L863" s="12">
        <v>393</v>
      </c>
      <c r="M863" s="12">
        <v>110</v>
      </c>
      <c r="N863" s="12">
        <v>8</v>
      </c>
      <c r="O863" s="15"/>
      <c r="P863" s="6">
        <v>41240.599722222221</v>
      </c>
      <c r="Q863" s="16" t="s">
        <v>28</v>
      </c>
      <c r="R863" s="19"/>
      <c r="S863" s="11"/>
      <c r="T863" s="11"/>
      <c r="U863" s="10" t="str">
        <f>HYPERLINK("https://pbs.twimg.com/profile_images/1049280065232691200/Zp1cLx8O.jpg","View")</f>
        <v>View</v>
      </c>
    </row>
    <row r="864" spans="1:21" ht="30.6">
      <c r="A864" s="6">
        <v>43426.228715277779</v>
      </c>
      <c r="B864" s="7" t="str">
        <f>HYPERLINK("https://twitter.com/Nevereverkano","@Nevereverkano")</f>
        <v>@Nevereverkano</v>
      </c>
      <c r="C864" s="8" t="s">
        <v>5286</v>
      </c>
      <c r="D864" s="9" t="s">
        <v>3304</v>
      </c>
      <c r="E864" s="10" t="str">
        <f>HYPERLINK("https://twitter.com/Nevereverkano/status/1065598109068247043","1065598109068247043")</f>
        <v>1065598109068247043</v>
      </c>
      <c r="F864" s="11"/>
      <c r="G864" s="11"/>
      <c r="H864" s="11"/>
      <c r="I864" s="12">
        <v>3</v>
      </c>
      <c r="J864" s="12">
        <v>6</v>
      </c>
      <c r="K864" s="13" t="str">
        <f t="shared" ref="K864:K866" si="176">HYPERLINK("http://twitter.com/download/android","Twitter for Android")</f>
        <v>Twitter for Android</v>
      </c>
      <c r="L864" s="12">
        <v>931</v>
      </c>
      <c r="M864" s="12">
        <v>358</v>
      </c>
      <c r="N864" s="12">
        <v>32</v>
      </c>
      <c r="O864" s="15"/>
      <c r="P864" s="6">
        <v>41148.188692129632</v>
      </c>
      <c r="Q864" s="16" t="s">
        <v>5289</v>
      </c>
      <c r="R864" s="17" t="s">
        <v>5290</v>
      </c>
      <c r="S864" s="14" t="s">
        <v>5291</v>
      </c>
      <c r="T864" s="11"/>
      <c r="U864" s="10" t="str">
        <f>HYPERLINK("https://pbs.twimg.com/profile_images/1025749907884449793/1UV79HEh.jpg","View")</f>
        <v>View</v>
      </c>
    </row>
    <row r="865" spans="1:21" ht="51">
      <c r="A865" s="6">
        <v>43426.227129629631</v>
      </c>
      <c r="B865" s="7" t="str">
        <f>HYPERLINK("https://twitter.com/criscamero","@criscamero")</f>
        <v>@criscamero</v>
      </c>
      <c r="C865" s="8" t="s">
        <v>5294</v>
      </c>
      <c r="D865" s="9" t="s">
        <v>5295</v>
      </c>
      <c r="E865" s="10" t="str">
        <f>HYPERLINK("https://twitter.com/criscamero/status/1065597531567112192","1065597531567112192")</f>
        <v>1065597531567112192</v>
      </c>
      <c r="F865" s="14" t="s">
        <v>529</v>
      </c>
      <c r="G865" s="11"/>
      <c r="H865" s="11"/>
      <c r="I865" s="12">
        <v>0</v>
      </c>
      <c r="J865" s="12">
        <v>0</v>
      </c>
      <c r="K865" s="13" t="str">
        <f t="shared" si="176"/>
        <v>Twitter for Android</v>
      </c>
      <c r="L865" s="12">
        <v>369</v>
      </c>
      <c r="M865" s="12">
        <v>447</v>
      </c>
      <c r="N865" s="12">
        <v>4</v>
      </c>
      <c r="O865" s="15"/>
      <c r="P865" s="6">
        <v>41317.281087962961</v>
      </c>
      <c r="Q865" s="16" t="s">
        <v>5298</v>
      </c>
      <c r="R865" s="17" t="s">
        <v>5299</v>
      </c>
      <c r="S865" s="11"/>
      <c r="T865" s="11"/>
      <c r="U865" s="10" t="str">
        <f>HYPERLINK("https://pbs.twimg.com/profile_images/619483915833769984/Jh27jOAS.jpg","View")</f>
        <v>View</v>
      </c>
    </row>
    <row r="866" spans="1:21" ht="30.6">
      <c r="A866" s="6">
        <v>43426.226724537039</v>
      </c>
      <c r="B866" s="7" t="str">
        <f>HYPERLINK("https://twitter.com/RikardoSSJ","@RikardoSSJ")</f>
        <v>@RikardoSSJ</v>
      </c>
      <c r="C866" s="8" t="s">
        <v>5300</v>
      </c>
      <c r="D866" s="9" t="s">
        <v>3304</v>
      </c>
      <c r="E866" s="10" t="str">
        <f>HYPERLINK("https://twitter.com/RikardoSSJ/status/1065597384850313216","1065597384850313216")</f>
        <v>1065597384850313216</v>
      </c>
      <c r="F866" s="11"/>
      <c r="G866" s="11"/>
      <c r="H866" s="11"/>
      <c r="I866" s="12">
        <v>1</v>
      </c>
      <c r="J866" s="12">
        <v>1</v>
      </c>
      <c r="K866" s="13" t="str">
        <f t="shared" si="176"/>
        <v>Twitter for Android</v>
      </c>
      <c r="L866" s="12">
        <v>397</v>
      </c>
      <c r="M866" s="12">
        <v>277</v>
      </c>
      <c r="N866" s="12">
        <v>18</v>
      </c>
      <c r="O866" s="15"/>
      <c r="P866" s="6">
        <v>41428.507094907407</v>
      </c>
      <c r="Q866" s="16" t="s">
        <v>5303</v>
      </c>
      <c r="R866" s="17" t="s">
        <v>5304</v>
      </c>
      <c r="S866" s="14" t="s">
        <v>5305</v>
      </c>
      <c r="T866" s="11"/>
      <c r="U866" s="10" t="str">
        <f>HYPERLINK("https://pbs.twimg.com/profile_images/1048548681182535680/mxFp7ASU.jpg","View")</f>
        <v>View</v>
      </c>
    </row>
    <row r="867" spans="1:21" ht="30.6">
      <c r="A867" s="6">
        <v>43426.226678240739</v>
      </c>
      <c r="B867" s="7" t="str">
        <f>HYPERLINK("https://twitter.com/Samuelsgalan","@Samuelsgalan")</f>
        <v>@Samuelsgalan</v>
      </c>
      <c r="C867" s="8" t="s">
        <v>5307</v>
      </c>
      <c r="D867" s="9" t="s">
        <v>3304</v>
      </c>
      <c r="E867" s="10" t="str">
        <f>HYPERLINK("https://twitter.com/Samuelsgalan/status/1065597368706453504","1065597368706453504")</f>
        <v>1065597368706453504</v>
      </c>
      <c r="F867" s="11"/>
      <c r="G867" s="11"/>
      <c r="H867" s="11"/>
      <c r="I867" s="12">
        <v>0</v>
      </c>
      <c r="J867" s="12">
        <v>2</v>
      </c>
      <c r="K867" s="13" t="str">
        <f>HYPERLINK("http://twitter.com","Twitter Web Client")</f>
        <v>Twitter Web Client</v>
      </c>
      <c r="L867" s="12">
        <v>97</v>
      </c>
      <c r="M867" s="12">
        <v>140</v>
      </c>
      <c r="N867" s="12">
        <v>0</v>
      </c>
      <c r="O867" s="15"/>
      <c r="P867" s="6">
        <v>42866.719201388885</v>
      </c>
      <c r="Q867" s="16" t="s">
        <v>5308</v>
      </c>
      <c r="R867" s="17" t="s">
        <v>5309</v>
      </c>
      <c r="S867" s="11"/>
      <c r="T867" s="11"/>
      <c r="U867" s="10" t="str">
        <f>HYPERLINK("https://pbs.twimg.com/profile_images/1025396262772924422/VEjB_CMD.jpg","View")</f>
        <v>View</v>
      </c>
    </row>
    <row r="868" spans="1:21" ht="13.2">
      <c r="A868" s="6">
        <v>43426.225821759261</v>
      </c>
      <c r="B868" s="7" t="str">
        <f>HYPERLINK("https://twitter.com/precioreducido","@precioreducido")</f>
        <v>@precioreducido</v>
      </c>
      <c r="C868" s="8" t="s">
        <v>121</v>
      </c>
      <c r="D868" s="9" t="s">
        <v>5313</v>
      </c>
      <c r="E868" s="10" t="str">
        <f>HYPERLINK("https://twitter.com/precioreducido/status/1065597058776748032","1065597058776748032")</f>
        <v>1065597058776748032</v>
      </c>
      <c r="F868" s="14" t="s">
        <v>96</v>
      </c>
      <c r="G868" s="11"/>
      <c r="H868" s="11"/>
      <c r="I868" s="12">
        <v>0</v>
      </c>
      <c r="J868" s="12">
        <v>0</v>
      </c>
      <c r="K868" s="13" t="str">
        <f t="shared" ref="K868:K869" si="177">HYPERLINK("http://twitter.com/download/android","Twitter for Android")</f>
        <v>Twitter for Android</v>
      </c>
      <c r="L868" s="12">
        <v>605</v>
      </c>
      <c r="M868" s="12">
        <v>1087</v>
      </c>
      <c r="N868" s="12">
        <v>8</v>
      </c>
      <c r="O868" s="15"/>
      <c r="P868" s="6">
        <v>42304.675266203703</v>
      </c>
      <c r="Q868" s="16" t="s">
        <v>5318</v>
      </c>
      <c r="R868" s="19"/>
      <c r="S868" s="11"/>
      <c r="T868" s="11"/>
      <c r="U868" s="10" t="str">
        <f>HYPERLINK("https://pbs.twimg.com/profile_images/978269356558864385/YZOr2A4u.jpg","View")</f>
        <v>View</v>
      </c>
    </row>
    <row r="869" spans="1:21" ht="40.799999999999997">
      <c r="A869" s="6">
        <v>43426.225671296299</v>
      </c>
      <c r="B869" s="7" t="str">
        <f>HYPERLINK("https://twitter.com/El_deHistoria","@El_deHistoria")</f>
        <v>@El_deHistoria</v>
      </c>
      <c r="C869" s="8" t="s">
        <v>5319</v>
      </c>
      <c r="D869" s="9" t="s">
        <v>5320</v>
      </c>
      <c r="E869" s="10" t="str">
        <f>HYPERLINK("https://twitter.com/El_deHistoria/status/1065597004749946880","1065597004749946880")</f>
        <v>1065597004749946880</v>
      </c>
      <c r="F869" s="14" t="s">
        <v>96</v>
      </c>
      <c r="G869" s="11"/>
      <c r="H869" s="11"/>
      <c r="I869" s="12">
        <v>0</v>
      </c>
      <c r="J869" s="12">
        <v>0</v>
      </c>
      <c r="K869" s="13" t="str">
        <f t="shared" si="177"/>
        <v>Twitter for Android</v>
      </c>
      <c r="L869" s="12">
        <v>335</v>
      </c>
      <c r="M869" s="12">
        <v>364</v>
      </c>
      <c r="N869" s="12">
        <v>11</v>
      </c>
      <c r="O869" s="15"/>
      <c r="P869" s="6">
        <v>41640.385717592595</v>
      </c>
      <c r="Q869" s="16" t="s">
        <v>28</v>
      </c>
      <c r="R869" s="17" t="s">
        <v>5323</v>
      </c>
      <c r="S869" s="11"/>
      <c r="T869" s="11"/>
      <c r="U869" s="10" t="str">
        <f>HYPERLINK("https://pbs.twimg.com/profile_images/920240969001373696/ljG2_t63.jpg","View")</f>
        <v>View</v>
      </c>
    </row>
    <row r="870" spans="1:21" ht="30.6">
      <c r="A870" s="6">
        <v>43426.224965277783</v>
      </c>
      <c r="B870" s="7" t="str">
        <f>HYPERLINK("https://twitter.com/Nacho_Cf90","@Nacho_Cf90")</f>
        <v>@Nacho_Cf90</v>
      </c>
      <c r="C870" s="8" t="s">
        <v>2088</v>
      </c>
      <c r="D870" s="9" t="s">
        <v>2089</v>
      </c>
      <c r="E870" s="10" t="str">
        <f>HYPERLINK("https://twitter.com/Nacho_Cf90/status/1065596750348595206","1065596750348595206")</f>
        <v>1065596750348595206</v>
      </c>
      <c r="F870" s="14" t="s">
        <v>2090</v>
      </c>
      <c r="G870" s="14" t="s">
        <v>2091</v>
      </c>
      <c r="H870" s="11"/>
      <c r="I870" s="12">
        <v>0</v>
      </c>
      <c r="J870" s="12">
        <v>0</v>
      </c>
      <c r="K870" s="13" t="str">
        <f>HYPERLINK("http://twitter.com/download/iphone","Twitter for iPhone")</f>
        <v>Twitter for iPhone</v>
      </c>
      <c r="L870" s="12">
        <v>131</v>
      </c>
      <c r="M870" s="12">
        <v>48</v>
      </c>
      <c r="N870" s="12">
        <v>11</v>
      </c>
      <c r="O870" s="15"/>
      <c r="P870" s="6">
        <v>41124.136516203704</v>
      </c>
      <c r="Q870" s="16" t="s">
        <v>28</v>
      </c>
      <c r="R870" s="17" t="s">
        <v>2092</v>
      </c>
      <c r="S870" s="11"/>
      <c r="T870" s="11"/>
      <c r="U870" s="10" t="str">
        <f>HYPERLINK("https://pbs.twimg.com/profile_images/1045686262210924544/lpSKS1Sk.jpg","View")</f>
        <v>View</v>
      </c>
    </row>
    <row r="871" spans="1:21" ht="51">
      <c r="A871" s="6">
        <v>43426.224745370375</v>
      </c>
      <c r="B871" s="7" t="str">
        <f>HYPERLINK("https://twitter.com/javicaches","@javicaches")</f>
        <v>@javicaches</v>
      </c>
      <c r="C871" s="8" t="s">
        <v>2093</v>
      </c>
      <c r="D871" s="9" t="s">
        <v>2094</v>
      </c>
      <c r="E871" s="10" t="str">
        <f>HYPERLINK("https://twitter.com/javicaches/status/1065596669805453312","1065596669805453312")</f>
        <v>1065596669805453312</v>
      </c>
      <c r="F871" s="14" t="s">
        <v>96</v>
      </c>
      <c r="G871" s="11"/>
      <c r="H871" s="11"/>
      <c r="I871" s="12">
        <v>0</v>
      </c>
      <c r="J871" s="12">
        <v>0</v>
      </c>
      <c r="K871" s="13" t="str">
        <f>HYPERLINK("https://mobile.twitter.com","Twitter Lite")</f>
        <v>Twitter Lite</v>
      </c>
      <c r="L871" s="12">
        <v>1507</v>
      </c>
      <c r="M871" s="12">
        <v>863</v>
      </c>
      <c r="N871" s="12">
        <v>10</v>
      </c>
      <c r="O871" s="15"/>
      <c r="P871" s="6">
        <v>40676.325324074074</v>
      </c>
      <c r="Q871" s="11"/>
      <c r="R871" s="17" t="s">
        <v>2097</v>
      </c>
      <c r="S871" s="11"/>
      <c r="T871" s="11"/>
      <c r="U871" s="10" t="str">
        <f>HYPERLINK("https://pbs.twimg.com/profile_images/378800000271799193/256f44ef9e6a0a64b74c3795a8679d1f.jpeg","View")</f>
        <v>View</v>
      </c>
    </row>
    <row r="872" spans="1:21" ht="51">
      <c r="A872" s="6">
        <v>43426.224687499998</v>
      </c>
      <c r="B872" s="7" t="str">
        <f>HYPERLINK("https://twitter.com/carserbar","@carserbar")</f>
        <v>@carserbar</v>
      </c>
      <c r="C872" s="8" t="s">
        <v>2099</v>
      </c>
      <c r="D872" s="9" t="s">
        <v>2100</v>
      </c>
      <c r="E872" s="10" t="str">
        <f>HYPERLINK("https://twitter.com/carserbar/status/1065596646996750336","1065596646996750336")</f>
        <v>1065596646996750336</v>
      </c>
      <c r="F872" s="14" t="s">
        <v>96</v>
      </c>
      <c r="G872" s="11"/>
      <c r="H872" s="11"/>
      <c r="I872" s="12">
        <v>0</v>
      </c>
      <c r="J872" s="12">
        <v>0</v>
      </c>
      <c r="K872" s="13" t="str">
        <f>HYPERLINK("http://twitter.com/download/iphone","Twitter for iPhone")</f>
        <v>Twitter for iPhone</v>
      </c>
      <c r="L872" s="12">
        <v>1528</v>
      </c>
      <c r="M872" s="12">
        <v>2112</v>
      </c>
      <c r="N872" s="12">
        <v>58</v>
      </c>
      <c r="O872" s="15"/>
      <c r="P872" s="6">
        <v>40184.439444444448</v>
      </c>
      <c r="Q872" s="16" t="s">
        <v>241</v>
      </c>
      <c r="R872" s="17" t="s">
        <v>2105</v>
      </c>
      <c r="S872" s="11"/>
      <c r="T872" s="11"/>
      <c r="U872" s="10" t="str">
        <f>HYPERLINK("https://pbs.twimg.com/profile_images/453563817897623552/6ZRNkOft.jpeg","View")</f>
        <v>View</v>
      </c>
    </row>
    <row r="873" spans="1:21" ht="20.399999999999999">
      <c r="A873" s="6">
        <v>43426.22446759259</v>
      </c>
      <c r="B873" s="7" t="str">
        <f>HYPERLINK("https://twitter.com/solymar_maria","@solymar_maria")</f>
        <v>@solymar_maria</v>
      </c>
      <c r="C873" s="8" t="s">
        <v>5330</v>
      </c>
      <c r="D873" s="9" t="s">
        <v>3000</v>
      </c>
      <c r="E873" s="10" t="str">
        <f>HYPERLINK("https://twitter.com/solymar_maria/status/1065596568550731776","1065596568550731776")</f>
        <v>1065596568550731776</v>
      </c>
      <c r="F873" s="14" t="s">
        <v>5332</v>
      </c>
      <c r="G873" s="11"/>
      <c r="H873" s="11"/>
      <c r="I873" s="12">
        <v>0</v>
      </c>
      <c r="J873" s="12">
        <v>0</v>
      </c>
      <c r="K873" s="13" t="str">
        <f>HYPERLINK("http://www.facebook.com/twitter","Facebook")</f>
        <v>Facebook</v>
      </c>
      <c r="L873" s="12">
        <v>114</v>
      </c>
      <c r="M873" s="12">
        <v>70</v>
      </c>
      <c r="N873" s="12">
        <v>0</v>
      </c>
      <c r="O873" s="15"/>
      <c r="P873" s="6">
        <v>41871.13784722222</v>
      </c>
      <c r="Q873" s="16" t="s">
        <v>38</v>
      </c>
      <c r="R873" s="17" t="s">
        <v>5334</v>
      </c>
      <c r="S873" s="11"/>
      <c r="T873" s="11"/>
      <c r="U873" s="10" t="str">
        <f>HYPERLINK("https://pbs.twimg.com/profile_images/504242986847186944/LDdm6Xka.jpeg","View")</f>
        <v>View</v>
      </c>
    </row>
    <row r="874" spans="1:21" ht="51">
      <c r="A874" s="6">
        <v>43426.224224537036</v>
      </c>
      <c r="B874" s="7" t="str">
        <f>HYPERLINK("https://twitter.com/RaquelCarrasc_","@RaquelCarrasc_")</f>
        <v>@RaquelCarrasc_</v>
      </c>
      <c r="C874" s="8" t="s">
        <v>2110</v>
      </c>
      <c r="D874" s="9" t="s">
        <v>2111</v>
      </c>
      <c r="E874" s="10" t="str">
        <f>HYPERLINK("https://twitter.com/RaquelCarrasc_/status/1065596481871233024","1065596481871233024")</f>
        <v>1065596481871233024</v>
      </c>
      <c r="F874" s="16" t="s">
        <v>2114</v>
      </c>
      <c r="G874" s="11"/>
      <c r="H874" s="11"/>
      <c r="I874" s="12">
        <v>2</v>
      </c>
      <c r="J874" s="12">
        <v>1</v>
      </c>
      <c r="K874" s="13" t="str">
        <f>HYPERLINK("https://about.twitter.com/products/tweetdeck","TweetDeck")</f>
        <v>TweetDeck</v>
      </c>
      <c r="L874" s="12">
        <v>1071</v>
      </c>
      <c r="M874" s="12">
        <v>631</v>
      </c>
      <c r="N874" s="12">
        <v>32</v>
      </c>
      <c r="O874" s="15"/>
      <c r="P874" s="6">
        <v>41675.355081018519</v>
      </c>
      <c r="Q874" s="16" t="s">
        <v>38</v>
      </c>
      <c r="R874" s="17" t="s">
        <v>2117</v>
      </c>
      <c r="S874" s="11"/>
      <c r="T874" s="11"/>
      <c r="U874" s="10" t="str">
        <f>HYPERLINK("https://pbs.twimg.com/profile_images/1016952930648420353/zpcOzee7.jpg","View")</f>
        <v>View</v>
      </c>
    </row>
    <row r="875" spans="1:21" ht="20.399999999999999">
      <c r="A875" s="6">
        <v>43426.22420138889</v>
      </c>
      <c r="B875" s="7" t="str">
        <f>HYPERLINK("https://twitter.com/AustralND","@AustralND")</f>
        <v>@AustralND</v>
      </c>
      <c r="C875" s="8" t="s">
        <v>5339</v>
      </c>
      <c r="D875" s="9" t="s">
        <v>5340</v>
      </c>
      <c r="E875" s="10" t="str">
        <f>HYPERLINK("https://twitter.com/AustralND/status/1065596471129587713","1065596471129587713")</f>
        <v>1065596471129587713</v>
      </c>
      <c r="F875" s="14" t="s">
        <v>5341</v>
      </c>
      <c r="G875" s="11"/>
      <c r="H875" s="11"/>
      <c r="I875" s="12">
        <v>0</v>
      </c>
      <c r="J875" s="12">
        <v>0</v>
      </c>
      <c r="K875" s="13" t="str">
        <f>HYPERLINK("http://twitter.com/download/iphone","Twitter for iPhone")</f>
        <v>Twitter for iPhone</v>
      </c>
      <c r="L875" s="12">
        <v>955</v>
      </c>
      <c r="M875" s="12">
        <v>895</v>
      </c>
      <c r="N875" s="12">
        <v>37</v>
      </c>
      <c r="O875" s="15"/>
      <c r="P875" s="6">
        <v>40102.555937500001</v>
      </c>
      <c r="Q875" s="16" t="s">
        <v>28</v>
      </c>
      <c r="R875" s="17" t="s">
        <v>5342</v>
      </c>
      <c r="S875" s="11"/>
      <c r="T875" s="11"/>
      <c r="U875" s="10" t="str">
        <f>HYPERLINK("https://pbs.twimg.com/profile_images/497633965/CAPFL1W1CAKN6YFHCAVZQEIBCAMH4XN5CANCQY0TCAIS5L1JCAF4I4MACA9C1MY9CAKSAY2MCAB4KRAMCAYGGAOLCAROJ3GOCAMXKC32CAZ7C1B7CA65ZM2YCA6BIN3BCA2WLTY6CA5ZN6A0.jpg","View")</f>
        <v>View</v>
      </c>
    </row>
    <row r="876" spans="1:21" ht="30.6">
      <c r="A876" s="6">
        <v>43426.223310185189</v>
      </c>
      <c r="B876" s="7" t="str">
        <f>HYPERLINK("https://twitter.com/jgpast","@jgpast")</f>
        <v>@jgpast</v>
      </c>
      <c r="C876" s="8" t="s">
        <v>272</v>
      </c>
      <c r="D876" s="9" t="s">
        <v>5345</v>
      </c>
      <c r="E876" s="10" t="str">
        <f>HYPERLINK("https://twitter.com/jgpast/status/1065596149674008576","1065596149674008576")</f>
        <v>1065596149674008576</v>
      </c>
      <c r="F876" s="11"/>
      <c r="G876" s="11"/>
      <c r="H876" s="11"/>
      <c r="I876" s="12">
        <v>0</v>
      </c>
      <c r="J876" s="12">
        <v>1</v>
      </c>
      <c r="K876" s="13" t="str">
        <f>HYPERLINK("https://mobile.twitter.com","Twitter Lite")</f>
        <v>Twitter Lite</v>
      </c>
      <c r="L876" s="12">
        <v>1308</v>
      </c>
      <c r="M876" s="12">
        <v>1302</v>
      </c>
      <c r="N876" s="12">
        <v>34</v>
      </c>
      <c r="O876" s="15"/>
      <c r="P876" s="6">
        <v>40854.687557870369</v>
      </c>
      <c r="Q876" s="16" t="s">
        <v>278</v>
      </c>
      <c r="R876" s="17" t="s">
        <v>279</v>
      </c>
      <c r="S876" s="11"/>
      <c r="T876" s="11"/>
      <c r="U876" s="10" t="str">
        <f>HYPERLINK("https://pbs.twimg.com/profile_images/1050981230240522240/rqYPwIUZ.jpg","View")</f>
        <v>View</v>
      </c>
    </row>
    <row r="877" spans="1:21" ht="30.6">
      <c r="A877" s="6">
        <v>43426.223101851851</v>
      </c>
      <c r="B877" s="7" t="str">
        <f>HYPERLINK("https://twitter.com/tusputxsmuertxs","@tusputxsmuertxs")</f>
        <v>@tusputxsmuertxs</v>
      </c>
      <c r="C877" s="8" t="s">
        <v>5347</v>
      </c>
      <c r="D877" s="9" t="s">
        <v>3304</v>
      </c>
      <c r="E877" s="10" t="str">
        <f>HYPERLINK("https://twitter.com/tusputxsmuertxs/status/1065596072247070720","1065596072247070720")</f>
        <v>1065596072247070720</v>
      </c>
      <c r="F877" s="11"/>
      <c r="G877" s="11"/>
      <c r="H877" s="11"/>
      <c r="I877" s="12">
        <v>0</v>
      </c>
      <c r="J877" s="12">
        <v>2</v>
      </c>
      <c r="K877" s="13" t="str">
        <f>HYPERLINK("http://twitter.com","Twitter Web Client")</f>
        <v>Twitter Web Client</v>
      </c>
      <c r="L877" s="12">
        <v>930</v>
      </c>
      <c r="M877" s="12">
        <v>474</v>
      </c>
      <c r="N877" s="12">
        <v>43</v>
      </c>
      <c r="O877" s="15"/>
      <c r="P877" s="6">
        <v>42398.27579861111</v>
      </c>
      <c r="Q877" s="16" t="s">
        <v>5349</v>
      </c>
      <c r="R877" s="17" t="s">
        <v>5350</v>
      </c>
      <c r="S877" s="14" t="s">
        <v>5351</v>
      </c>
      <c r="T877" s="11"/>
      <c r="U877" s="10" t="str">
        <f>HYPERLINK("https://pbs.twimg.com/profile_images/1054124654313517056/lFTrH2Qz.jpg","View")</f>
        <v>View</v>
      </c>
    </row>
    <row r="878" spans="1:21" ht="30.6">
      <c r="A878" s="6">
        <v>43426.222939814819</v>
      </c>
      <c r="B878" s="7" t="str">
        <f>HYPERLINK("https://twitter.com/yonkisucio","@yonkisucio")</f>
        <v>@yonkisucio</v>
      </c>
      <c r="C878" s="8" t="s">
        <v>5352</v>
      </c>
      <c r="D878" s="9" t="s">
        <v>3304</v>
      </c>
      <c r="E878" s="10" t="str">
        <f>HYPERLINK("https://twitter.com/yonkisucio/status/1065596015326175233","1065596015326175233")</f>
        <v>1065596015326175233</v>
      </c>
      <c r="F878" s="11"/>
      <c r="G878" s="11"/>
      <c r="H878" s="11"/>
      <c r="I878" s="12">
        <v>2</v>
      </c>
      <c r="J878" s="12">
        <v>5</v>
      </c>
      <c r="K878" s="13" t="str">
        <f t="shared" ref="K878:K879" si="178">HYPERLINK("http://twitter.com/download/android","Twitter for Android")</f>
        <v>Twitter for Android</v>
      </c>
      <c r="L878" s="12">
        <v>617</v>
      </c>
      <c r="M878" s="12">
        <v>86</v>
      </c>
      <c r="N878" s="12">
        <v>21</v>
      </c>
      <c r="O878" s="15"/>
      <c r="P878" s="6">
        <v>41138.135810185187</v>
      </c>
      <c r="Q878" s="16" t="s">
        <v>5354</v>
      </c>
      <c r="R878" s="17" t="s">
        <v>5355</v>
      </c>
      <c r="S878" s="14" t="s">
        <v>5356</v>
      </c>
      <c r="T878" s="11"/>
      <c r="U878" s="10" t="str">
        <f>HYPERLINK("https://pbs.twimg.com/profile_images/1059594462140207105/Xr-h034H.jpg","View")</f>
        <v>View</v>
      </c>
    </row>
    <row r="879" spans="1:21" ht="30.6">
      <c r="A879" s="6">
        <v>43426.222719907411</v>
      </c>
      <c r="B879" s="7" t="str">
        <f>HYPERLINK("https://twitter.com/_VectorToHeaven","@_VectorToHeaven")</f>
        <v>@_VectorToHeaven</v>
      </c>
      <c r="C879" s="8" t="s">
        <v>5361</v>
      </c>
      <c r="D879" s="9" t="s">
        <v>3304</v>
      </c>
      <c r="E879" s="10" t="str">
        <f>HYPERLINK("https://twitter.com/_VectorToHeaven/status/1065595933486919681","1065595933486919681")</f>
        <v>1065595933486919681</v>
      </c>
      <c r="F879" s="11"/>
      <c r="G879" s="11"/>
      <c r="H879" s="11"/>
      <c r="I879" s="12">
        <v>3</v>
      </c>
      <c r="J879" s="12">
        <v>12</v>
      </c>
      <c r="K879" s="13" t="str">
        <f t="shared" si="178"/>
        <v>Twitter for Android</v>
      </c>
      <c r="L879" s="12">
        <v>331</v>
      </c>
      <c r="M879" s="12">
        <v>501</v>
      </c>
      <c r="N879" s="12">
        <v>3</v>
      </c>
      <c r="O879" s="15"/>
      <c r="P879" s="6">
        <v>42745.565023148149</v>
      </c>
      <c r="Q879" s="16" t="s">
        <v>5364</v>
      </c>
      <c r="R879" s="17" t="s">
        <v>5365</v>
      </c>
      <c r="S879" s="14" t="s">
        <v>5366</v>
      </c>
      <c r="T879" s="11"/>
      <c r="U879" s="10" t="str">
        <f>HYPERLINK("https://pbs.twimg.com/profile_images/1037456456512090112/PXoyk6wh.jpg","View")</f>
        <v>View</v>
      </c>
    </row>
    <row r="880" spans="1:21" ht="20.399999999999999">
      <c r="A880" s="6">
        <v>43426.222442129627</v>
      </c>
      <c r="B880" s="7" t="str">
        <f>HYPERLINK("https://twitter.com/Loren1321","@Loren1321")</f>
        <v>@Loren1321</v>
      </c>
      <c r="C880" s="8" t="s">
        <v>5368</v>
      </c>
      <c r="D880" s="9" t="s">
        <v>5369</v>
      </c>
      <c r="E880" s="10" t="str">
        <f>HYPERLINK("https://twitter.com/Loren1321/status/1065595836275412992","1065595836275412992")</f>
        <v>1065595836275412992</v>
      </c>
      <c r="F880" s="14" t="s">
        <v>5372</v>
      </c>
      <c r="G880" s="11"/>
      <c r="H880" s="11"/>
      <c r="I880" s="12">
        <v>0</v>
      </c>
      <c r="J880" s="12">
        <v>0</v>
      </c>
      <c r="K880" s="13" t="str">
        <f>HYPERLINK("https://www.google.com/","Google")</f>
        <v>Google</v>
      </c>
      <c r="L880" s="12">
        <v>8</v>
      </c>
      <c r="M880" s="12">
        <v>54</v>
      </c>
      <c r="N880" s="12">
        <v>6</v>
      </c>
      <c r="O880" s="15"/>
      <c r="P880" s="6">
        <v>42060.410451388889</v>
      </c>
      <c r="Q880" s="11"/>
      <c r="R880" s="17" t="s">
        <v>5373</v>
      </c>
      <c r="S880" s="11"/>
      <c r="T880" s="11"/>
      <c r="U880" s="10" t="str">
        <f>HYPERLINK("https://pbs.twimg.com/profile_images/1064580123167506442/esjbDC3U.jpg","View")</f>
        <v>View</v>
      </c>
    </row>
    <row r="881" spans="1:21" ht="40.799999999999997">
      <c r="A881" s="6">
        <v>43426.222002314811</v>
      </c>
      <c r="B881" s="7" t="str">
        <f>HYPERLINK("https://twitter.com/el_Biso_31","@el_Biso_31")</f>
        <v>@el_Biso_31</v>
      </c>
      <c r="C881" s="8" t="s">
        <v>5374</v>
      </c>
      <c r="D881" s="9" t="s">
        <v>3304</v>
      </c>
      <c r="E881" s="10" t="str">
        <f>HYPERLINK("https://twitter.com/el_Biso_31/status/1065595675986010112","1065595675986010112")</f>
        <v>1065595675986010112</v>
      </c>
      <c r="F881" s="11"/>
      <c r="G881" s="11"/>
      <c r="H881" s="11"/>
      <c r="I881" s="12">
        <v>5</v>
      </c>
      <c r="J881" s="12">
        <v>12</v>
      </c>
      <c r="K881" s="13" t="str">
        <f>HYPERLINK("https://about.twitter.com/products/tweetdeck","TweetDeck")</f>
        <v>TweetDeck</v>
      </c>
      <c r="L881" s="12">
        <v>51</v>
      </c>
      <c r="M881" s="12">
        <v>52</v>
      </c>
      <c r="N881" s="12">
        <v>0</v>
      </c>
      <c r="O881" s="15"/>
      <c r="P881" s="6">
        <v>43403.304189814815</v>
      </c>
      <c r="Q881" s="16" t="s">
        <v>5377</v>
      </c>
      <c r="R881" s="17" t="s">
        <v>5378</v>
      </c>
      <c r="S881" s="11"/>
      <c r="T881" s="11"/>
      <c r="U881" s="10" t="str">
        <f>HYPERLINK("https://pbs.twimg.com/profile_images/1059831061943738368/C8zIUxIV.jpg","View")</f>
        <v>View</v>
      </c>
    </row>
    <row r="882" spans="1:21" ht="30.6">
      <c r="A882" s="6">
        <v>43426.221539351856</v>
      </c>
      <c r="B882" s="7" t="str">
        <f>HYPERLINK("https://twitter.com/G_r_z__","@G_r_z__")</f>
        <v>@G_r_z__</v>
      </c>
      <c r="C882" s="8" t="s">
        <v>5380</v>
      </c>
      <c r="D882" s="9" t="s">
        <v>3304</v>
      </c>
      <c r="E882" s="10" t="str">
        <f>HYPERLINK("https://twitter.com/G_r_z__/status/1065595507253411841","1065595507253411841")</f>
        <v>1065595507253411841</v>
      </c>
      <c r="F882" s="11"/>
      <c r="G882" s="11"/>
      <c r="H882" s="11"/>
      <c r="I882" s="12">
        <v>5</v>
      </c>
      <c r="J882" s="12">
        <v>14</v>
      </c>
      <c r="K882" s="13" t="str">
        <f>HYPERLINK("http://twitter.com/download/android","Twitter for Android")</f>
        <v>Twitter for Android</v>
      </c>
      <c r="L882" s="12">
        <v>364</v>
      </c>
      <c r="M882" s="12">
        <v>202</v>
      </c>
      <c r="N882" s="12">
        <v>2</v>
      </c>
      <c r="O882" s="15"/>
      <c r="P882" s="6">
        <v>43030.514374999999</v>
      </c>
      <c r="Q882" s="16" t="s">
        <v>5383</v>
      </c>
      <c r="R882" s="17" t="s">
        <v>5384</v>
      </c>
      <c r="S882" s="11"/>
      <c r="T882" s="11"/>
      <c r="U882" s="10" t="str">
        <f>HYPERLINK("https://pbs.twimg.com/profile_images/1064563017214500865/Vs3Je_jF.jpg","View")</f>
        <v>View</v>
      </c>
    </row>
    <row r="883" spans="1:21" ht="20.399999999999999">
      <c r="A883" s="6">
        <v>43426.219699074078</v>
      </c>
      <c r="B883" s="7" t="str">
        <f>HYPERLINK("https://twitter.com/Loren1321","@Loren1321")</f>
        <v>@Loren1321</v>
      </c>
      <c r="C883" s="8" t="s">
        <v>5368</v>
      </c>
      <c r="D883" s="9" t="s">
        <v>5385</v>
      </c>
      <c r="E883" s="10" t="str">
        <f>HYPERLINK("https://twitter.com/Loren1321/status/1065594840686170117","1065594840686170117")</f>
        <v>1065594840686170117</v>
      </c>
      <c r="F883" s="14" t="s">
        <v>5388</v>
      </c>
      <c r="G883" s="11"/>
      <c r="H883" s="11"/>
      <c r="I883" s="12">
        <v>0</v>
      </c>
      <c r="J883" s="12">
        <v>0</v>
      </c>
      <c r="K883" s="13" t="str">
        <f>HYPERLINK("https://www.google.com/","Google")</f>
        <v>Google</v>
      </c>
      <c r="L883" s="12">
        <v>8</v>
      </c>
      <c r="M883" s="12">
        <v>54</v>
      </c>
      <c r="N883" s="12">
        <v>6</v>
      </c>
      <c r="O883" s="15"/>
      <c r="P883" s="6">
        <v>42060.410451388889</v>
      </c>
      <c r="Q883" s="11"/>
      <c r="R883" s="17" t="s">
        <v>5373</v>
      </c>
      <c r="S883" s="11"/>
      <c r="T883" s="11"/>
      <c r="U883" s="10" t="str">
        <f>HYPERLINK("https://pbs.twimg.com/profile_images/1064580123167506442/esjbDC3U.jpg","View")</f>
        <v>View</v>
      </c>
    </row>
    <row r="884" spans="1:21" ht="20.399999999999999">
      <c r="A884" s="6">
        <v>43426.218287037038</v>
      </c>
      <c r="B884" s="7" t="str">
        <f>HYPERLINK("https://twitter.com/Pepe_Castejon","@Pepe_Castejon")</f>
        <v>@Pepe_Castejon</v>
      </c>
      <c r="C884" s="8" t="s">
        <v>5393</v>
      </c>
      <c r="D884" s="9" t="s">
        <v>768</v>
      </c>
      <c r="E884" s="10" t="str">
        <f>HYPERLINK("https://twitter.com/Pepe_Castejon/status/1065594327525744640","1065594327525744640")</f>
        <v>1065594327525744640</v>
      </c>
      <c r="F884" s="14" t="s">
        <v>529</v>
      </c>
      <c r="G884" s="11"/>
      <c r="H884" s="11"/>
      <c r="I884" s="12">
        <v>0</v>
      </c>
      <c r="J884" s="12">
        <v>0</v>
      </c>
      <c r="K884" s="13" t="str">
        <f>HYPERLINK("http://twitter.com","Twitter Web Client")</f>
        <v>Twitter Web Client</v>
      </c>
      <c r="L884" s="12">
        <v>1182</v>
      </c>
      <c r="M884" s="12">
        <v>1507</v>
      </c>
      <c r="N884" s="12">
        <v>22</v>
      </c>
      <c r="O884" s="15"/>
      <c r="P884" s="6">
        <v>40619.503287037034</v>
      </c>
      <c r="Q884" s="16" t="s">
        <v>5395</v>
      </c>
      <c r="R884" s="17" t="s">
        <v>5396</v>
      </c>
      <c r="S884" s="14" t="s">
        <v>5397</v>
      </c>
      <c r="T884" s="11"/>
      <c r="U884" s="10" t="str">
        <f>HYPERLINK("https://pbs.twimg.com/profile_images/820306898452971520/qNDOvb3W.jpg","View")</f>
        <v>View</v>
      </c>
    </row>
    <row r="885" spans="1:21" ht="51">
      <c r="A885" s="6">
        <v>43426.218043981484</v>
      </c>
      <c r="B885" s="7" t="str">
        <f>HYPERLINK("https://twitter.com/Alicia63502264","@Alicia63502264")</f>
        <v>@Alicia63502264</v>
      </c>
      <c r="C885" s="8" t="s">
        <v>2120</v>
      </c>
      <c r="D885" s="9" t="s">
        <v>2121</v>
      </c>
      <c r="E885" s="10" t="str">
        <f>HYPERLINK("https://twitter.com/Alicia63502264/status/1065594239332114433","1065594239332114433")</f>
        <v>1065594239332114433</v>
      </c>
      <c r="F885" s="14" t="s">
        <v>2122</v>
      </c>
      <c r="G885" s="11"/>
      <c r="H885" s="11"/>
      <c r="I885" s="12">
        <v>1</v>
      </c>
      <c r="J885" s="12">
        <v>0</v>
      </c>
      <c r="K885" s="13" t="str">
        <f t="shared" ref="K885:K886" si="179">HYPERLINK("http://twitter.com/download/android","Twitter for Android")</f>
        <v>Twitter for Android</v>
      </c>
      <c r="L885" s="12">
        <v>1688</v>
      </c>
      <c r="M885" s="12">
        <v>1918</v>
      </c>
      <c r="N885" s="12">
        <v>3</v>
      </c>
      <c r="O885" s="15"/>
      <c r="P885" s="6">
        <v>43252.20579861111</v>
      </c>
      <c r="Q885" s="11"/>
      <c r="R885" s="17" t="s">
        <v>2124</v>
      </c>
      <c r="S885" s="11"/>
      <c r="T885" s="11"/>
      <c r="U885" s="10" t="str">
        <f>HYPERLINK("https://pbs.twimg.com/profile_images/1054515004769255424/71MpVha3.jpg","View")</f>
        <v>View</v>
      </c>
    </row>
    <row r="886" spans="1:21" ht="30.6">
      <c r="A886" s="6">
        <v>43426.217997685184</v>
      </c>
      <c r="B886" s="7" t="str">
        <f>HYPERLINK("https://twitter.com/DarkSoulsUganda","@DarkSoulsUganda")</f>
        <v>@DarkSoulsUganda</v>
      </c>
      <c r="C886" s="8" t="s">
        <v>5401</v>
      </c>
      <c r="D886" s="9" t="s">
        <v>3304</v>
      </c>
      <c r="E886" s="10" t="str">
        <f>HYPERLINK("https://twitter.com/DarkSoulsUganda/status/1065594223985074177","1065594223985074177")</f>
        <v>1065594223985074177</v>
      </c>
      <c r="F886" s="11"/>
      <c r="G886" s="11"/>
      <c r="H886" s="11"/>
      <c r="I886" s="12">
        <v>0</v>
      </c>
      <c r="J886" s="12">
        <v>0</v>
      </c>
      <c r="K886" s="13" t="str">
        <f t="shared" si="179"/>
        <v>Twitter for Android</v>
      </c>
      <c r="L886" s="12">
        <v>905</v>
      </c>
      <c r="M886" s="12">
        <v>104</v>
      </c>
      <c r="N886" s="12">
        <v>35</v>
      </c>
      <c r="O886" s="15"/>
      <c r="P886" s="6">
        <v>41225.365312499998</v>
      </c>
      <c r="Q886" s="16" t="s">
        <v>5402</v>
      </c>
      <c r="R886" s="17" t="s">
        <v>5403</v>
      </c>
      <c r="S886" s="11"/>
      <c r="T886" s="11"/>
      <c r="U886" s="10" t="str">
        <f>HYPERLINK("https://pbs.twimg.com/profile_images/1058729316282970114/hpzkbs89.jpg","View")</f>
        <v>View</v>
      </c>
    </row>
    <row r="887" spans="1:21" ht="40.799999999999997">
      <c r="A887" s="6">
        <v>43426.217974537038</v>
      </c>
      <c r="B887" s="7" t="str">
        <f>HYPERLINK("https://twitter.com/TercioHispanico","@TercioHispanico")</f>
        <v>@TercioHispanico</v>
      </c>
      <c r="C887" s="8" t="s">
        <v>3885</v>
      </c>
      <c r="D887" s="9" t="s">
        <v>5406</v>
      </c>
      <c r="E887" s="10" t="str">
        <f>HYPERLINK("https://twitter.com/TercioHispanico/status/1065594217928507393","1065594217928507393")</f>
        <v>1065594217928507393</v>
      </c>
      <c r="F887" s="14" t="s">
        <v>5407</v>
      </c>
      <c r="G887" s="11"/>
      <c r="H887" s="11"/>
      <c r="I887" s="12">
        <v>0</v>
      </c>
      <c r="J887" s="12">
        <v>0</v>
      </c>
      <c r="K887" s="13" t="str">
        <f>HYPERLINK("https://diariorc.com","Tercio Hispánico App C")</f>
        <v>Tercio Hispánico App C</v>
      </c>
      <c r="L887" s="12">
        <v>1463</v>
      </c>
      <c r="M887" s="12">
        <v>1448</v>
      </c>
      <c r="N887" s="12">
        <v>3</v>
      </c>
      <c r="O887" s="15"/>
      <c r="P887" s="6">
        <v>43074.442384259259</v>
      </c>
      <c r="Q887" s="16" t="s">
        <v>28</v>
      </c>
      <c r="R887" s="17" t="s">
        <v>3888</v>
      </c>
      <c r="S887" s="11"/>
      <c r="T887" s="11"/>
      <c r="U887" s="10" t="str">
        <f>HYPERLINK("https://pbs.twimg.com/profile_images/938810411045941249/GJ1yq9OJ.jpg","View")</f>
        <v>View</v>
      </c>
    </row>
    <row r="888" spans="1:21" ht="30.6">
      <c r="A888" s="6">
        <v>43426.217847222222</v>
      </c>
      <c r="B888" s="7" t="str">
        <f>HYPERLINK("https://twitter.com/MmmmmFocas","@MmmmmFocas")</f>
        <v>@MmmmmFocas</v>
      </c>
      <c r="C888" s="8" t="s">
        <v>5409</v>
      </c>
      <c r="D888" s="9" t="s">
        <v>5410</v>
      </c>
      <c r="E888" s="10" t="str">
        <f>HYPERLINK("https://twitter.com/MmmmmFocas/status/1065594168750338048","1065594168750338048")</f>
        <v>1065594168750338048</v>
      </c>
      <c r="F888" s="14" t="s">
        <v>5411</v>
      </c>
      <c r="G888" s="11"/>
      <c r="H888" s="11"/>
      <c r="I888" s="12">
        <v>0</v>
      </c>
      <c r="J888" s="12">
        <v>1</v>
      </c>
      <c r="K888" s="13" t="str">
        <f>HYPERLINK("https://curiouscat.me","Curious Cat")</f>
        <v>Curious Cat</v>
      </c>
      <c r="L888" s="12">
        <v>1788</v>
      </c>
      <c r="M888" s="12">
        <v>748</v>
      </c>
      <c r="N888" s="12">
        <v>57</v>
      </c>
      <c r="O888" s="15"/>
      <c r="P888" s="6">
        <v>40971.559618055559</v>
      </c>
      <c r="Q888" s="16" t="s">
        <v>5412</v>
      </c>
      <c r="R888" s="17" t="s">
        <v>5413</v>
      </c>
      <c r="S888" s="14" t="s">
        <v>5414</v>
      </c>
      <c r="T888" s="11"/>
      <c r="U888" s="10" t="str">
        <f>HYPERLINK("https://pbs.twimg.com/profile_images/1058856676898553856/6kPZkRB0.jpg","View")</f>
        <v>View</v>
      </c>
    </row>
    <row r="889" spans="1:21" ht="20.399999999999999">
      <c r="A889" s="6">
        <v>43426.217523148152</v>
      </c>
      <c r="B889" s="7" t="str">
        <f>HYPERLINK("https://twitter.com/JRMALACITANUSBI","@JRMALACITANUSBI")</f>
        <v>@JRMALACITANUSBI</v>
      </c>
      <c r="C889" s="8" t="s">
        <v>5419</v>
      </c>
      <c r="D889" s="9" t="s">
        <v>768</v>
      </c>
      <c r="E889" s="10" t="str">
        <f>HYPERLINK("https://twitter.com/JRMALACITANUSBI/status/1065594054170370054","1065594054170370054")</f>
        <v>1065594054170370054</v>
      </c>
      <c r="F889" s="14" t="s">
        <v>529</v>
      </c>
      <c r="G889" s="11"/>
      <c r="H889" s="11"/>
      <c r="I889" s="12">
        <v>0</v>
      </c>
      <c r="J889" s="12">
        <v>0</v>
      </c>
      <c r="K889" s="13" t="str">
        <f t="shared" ref="K889:K890" si="180">HYPERLINK("http://twitter.com","Twitter Web Client")</f>
        <v>Twitter Web Client</v>
      </c>
      <c r="L889" s="12">
        <v>8</v>
      </c>
      <c r="M889" s="12">
        <v>57</v>
      </c>
      <c r="N889" s="12">
        <v>0</v>
      </c>
      <c r="O889" s="15"/>
      <c r="P889" s="6">
        <v>43136.998530092591</v>
      </c>
      <c r="Q889" s="11"/>
      <c r="R889" s="19"/>
      <c r="S889" s="11"/>
      <c r="T889" s="11"/>
      <c r="U889" s="10" t="str">
        <f>HYPERLINK("https://pbs.twimg.com/profile_images/962999321099718656/VX6lpAen.jpg","View")</f>
        <v>View</v>
      </c>
    </row>
    <row r="890" spans="1:21" ht="51">
      <c r="A890" s="6">
        <v>43426.217280092591</v>
      </c>
      <c r="B890" s="7" t="str">
        <f>HYPERLINK("https://twitter.com/CRUZIbs","@CRUZIbs")</f>
        <v>@CRUZIbs</v>
      </c>
      <c r="C890" s="8" t="s">
        <v>5425</v>
      </c>
      <c r="D890" s="9" t="s">
        <v>5426</v>
      </c>
      <c r="E890" s="10" t="str">
        <f>HYPERLINK("https://twitter.com/CRUZIbs/status/1065593962633850880","1065593962633850880")</f>
        <v>1065593962633850880</v>
      </c>
      <c r="F890" s="11"/>
      <c r="G890" s="11"/>
      <c r="H890" s="11"/>
      <c r="I890" s="12">
        <v>0</v>
      </c>
      <c r="J890" s="12">
        <v>2</v>
      </c>
      <c r="K890" s="13" t="str">
        <f t="shared" si="180"/>
        <v>Twitter Web Client</v>
      </c>
      <c r="L890" s="12">
        <v>2220</v>
      </c>
      <c r="M890" s="12">
        <v>2473</v>
      </c>
      <c r="N890" s="12">
        <v>19</v>
      </c>
      <c r="O890" s="15"/>
      <c r="P890" s="6">
        <v>41225.479490740741</v>
      </c>
      <c r="Q890" s="16" t="s">
        <v>268</v>
      </c>
      <c r="R890" s="17" t="s">
        <v>5429</v>
      </c>
      <c r="S890" s="11"/>
      <c r="T890" s="11"/>
      <c r="U890" s="10" t="str">
        <f>HYPERLINK("https://pbs.twimg.com/profile_images/631603523633987585/z_B48JFq.jpg","View")</f>
        <v>View</v>
      </c>
    </row>
    <row r="891" spans="1:21" ht="20.399999999999999">
      <c r="A891" s="6">
        <v>43426.216354166667</v>
      </c>
      <c r="B891" s="7" t="str">
        <f>HYPERLINK("https://twitter.com/LucioRecalde","@LucioRecalde")</f>
        <v>@LucioRecalde</v>
      </c>
      <c r="C891" s="8" t="s">
        <v>5430</v>
      </c>
      <c r="D891" s="9" t="s">
        <v>5431</v>
      </c>
      <c r="E891" s="10" t="str">
        <f>HYPERLINK("https://twitter.com/LucioRecalde/status/1065593627458629632","1065593627458629632")</f>
        <v>1065593627458629632</v>
      </c>
      <c r="F891" s="11"/>
      <c r="G891" s="11"/>
      <c r="H891" s="11"/>
      <c r="I891" s="12">
        <v>0</v>
      </c>
      <c r="J891" s="12">
        <v>1</v>
      </c>
      <c r="K891" s="13" t="str">
        <f>HYPERLINK("http://twitter.com/download/android","Twitter for Android")</f>
        <v>Twitter for Android</v>
      </c>
      <c r="L891" s="12">
        <v>1399</v>
      </c>
      <c r="M891" s="12">
        <v>1346</v>
      </c>
      <c r="N891" s="12">
        <v>94</v>
      </c>
      <c r="O891" s="15"/>
      <c r="P891" s="6">
        <v>40768.280277777776</v>
      </c>
      <c r="Q891" s="16" t="s">
        <v>5435</v>
      </c>
      <c r="R891" s="17" t="s">
        <v>5436</v>
      </c>
      <c r="S891" s="14" t="s">
        <v>5437</v>
      </c>
      <c r="T891" s="11"/>
      <c r="U891" s="10" t="str">
        <f>HYPERLINK("https://pbs.twimg.com/profile_images/1017363392959479809/OoBUyCIi.jpg","View")</f>
        <v>View</v>
      </c>
    </row>
    <row r="892" spans="1:21" ht="122.4">
      <c r="A892" s="6">
        <v>43426.215601851851</v>
      </c>
      <c r="B892" s="7" t="str">
        <f>HYPERLINK("https://twitter.com/stupidnewsmart1","@stupidnewsmart1")</f>
        <v>@stupidnewsmart1</v>
      </c>
      <c r="C892" s="8" t="s">
        <v>2126</v>
      </c>
      <c r="D892" s="9" t="s">
        <v>2127</v>
      </c>
      <c r="E892" s="10" t="str">
        <f>HYPERLINK("https://twitter.com/stupidnewsmart1/status/1065593355013447681","1065593355013447681")</f>
        <v>1065593355013447681</v>
      </c>
      <c r="F892" s="14" t="s">
        <v>2128</v>
      </c>
      <c r="G892" s="11"/>
      <c r="H892" s="11"/>
      <c r="I892" s="12">
        <v>0</v>
      </c>
      <c r="J892" s="12">
        <v>1</v>
      </c>
      <c r="K892" s="13" t="str">
        <f>HYPERLINK("http://twitter.com","Twitter Web Client")</f>
        <v>Twitter Web Client</v>
      </c>
      <c r="L892" s="12">
        <v>30</v>
      </c>
      <c r="M892" s="12">
        <v>102</v>
      </c>
      <c r="N892" s="12">
        <v>0</v>
      </c>
      <c r="O892" s="15"/>
      <c r="P892" s="6">
        <v>43372.312430555554</v>
      </c>
      <c r="Q892" s="16" t="s">
        <v>2129</v>
      </c>
      <c r="R892" s="17" t="s">
        <v>2130</v>
      </c>
      <c r="S892" s="11"/>
      <c r="T892" s="11"/>
      <c r="U892" s="10" t="str">
        <f>HYPERLINK("https://pbs.twimg.com/profile_images/1048522972238155776/0EpfalLf.jpg","View")</f>
        <v>View</v>
      </c>
    </row>
    <row r="893" spans="1:21" ht="40.799999999999997">
      <c r="A893" s="6">
        <v>43426.213356481487</v>
      </c>
      <c r="B893" s="7" t="str">
        <f>HYPERLINK("https://twitter.com/canete707","@canete707")</f>
        <v>@canete707</v>
      </c>
      <c r="C893" s="8" t="s">
        <v>5448</v>
      </c>
      <c r="D893" s="9" t="s">
        <v>5449</v>
      </c>
      <c r="E893" s="10" t="str">
        <f>HYPERLINK("https://twitter.com/canete707/status/1065592543046500352","1065592543046500352")</f>
        <v>1065592543046500352</v>
      </c>
      <c r="F893" s="11"/>
      <c r="G893" s="11"/>
      <c r="H893" s="11"/>
      <c r="I893" s="12">
        <v>2</v>
      </c>
      <c r="J893" s="12">
        <v>8</v>
      </c>
      <c r="K893" s="13" t="str">
        <f>HYPERLINK("http://twitter.com/download/android","Twitter for Android")</f>
        <v>Twitter for Android</v>
      </c>
      <c r="L893" s="12">
        <v>6044</v>
      </c>
      <c r="M893" s="12">
        <v>908</v>
      </c>
      <c r="N893" s="12">
        <v>74</v>
      </c>
      <c r="O893" s="15"/>
      <c r="P893" s="6">
        <v>41322.109699074077</v>
      </c>
      <c r="Q893" s="16" t="s">
        <v>5453</v>
      </c>
      <c r="R893" s="17" t="s">
        <v>5454</v>
      </c>
      <c r="S893" s="11"/>
      <c r="T893" s="11"/>
      <c r="U893" s="10" t="str">
        <f>HYPERLINK("https://pbs.twimg.com/profile_images/1025044213396893696/dnCLU8X_.jpg","View")</f>
        <v>View</v>
      </c>
    </row>
    <row r="894" spans="1:21" ht="20.399999999999999">
      <c r="A894" s="6">
        <v>43426.213055555556</v>
      </c>
      <c r="B894" s="7" t="str">
        <f>HYPERLINK("https://twitter.com/billar3b","@billar3b")</f>
        <v>@billar3b</v>
      </c>
      <c r="C894" s="8" t="s">
        <v>5455</v>
      </c>
      <c r="D894" s="9" t="s">
        <v>768</v>
      </c>
      <c r="E894" s="10" t="str">
        <f>HYPERLINK("https://twitter.com/billar3b/status/1065592434111987712","1065592434111987712")</f>
        <v>1065592434111987712</v>
      </c>
      <c r="F894" s="14" t="s">
        <v>529</v>
      </c>
      <c r="G894" s="11"/>
      <c r="H894" s="11"/>
      <c r="I894" s="12">
        <v>0</v>
      </c>
      <c r="J894" s="12">
        <v>0</v>
      </c>
      <c r="K894" s="13" t="str">
        <f t="shared" ref="K894:K895" si="181">HYPERLINK("http://twitter.com","Twitter Web Client")</f>
        <v>Twitter Web Client</v>
      </c>
      <c r="L894" s="12">
        <v>370</v>
      </c>
      <c r="M894" s="12">
        <v>838</v>
      </c>
      <c r="N894" s="12">
        <v>7</v>
      </c>
      <c r="O894" s="15"/>
      <c r="P894" s="6">
        <v>40700.09034722222</v>
      </c>
      <c r="Q894" s="11"/>
      <c r="R894" s="19"/>
      <c r="S894" s="11"/>
      <c r="T894" s="11"/>
      <c r="U894" s="10" t="str">
        <f>HYPERLINK("https://pbs.twimg.com/profile_images/603142869042466816/Z2H-w4_m.jpg","View")</f>
        <v>View</v>
      </c>
    </row>
    <row r="895" spans="1:21" ht="51">
      <c r="A895" s="6">
        <v>43426.212025462963</v>
      </c>
      <c r="B895" s="7" t="str">
        <f>HYPERLINK("https://twitter.com/ErZuru2000","@ErZuru2000")</f>
        <v>@ErZuru2000</v>
      </c>
      <c r="C895" s="8" t="s">
        <v>2131</v>
      </c>
      <c r="D895" s="9" t="s">
        <v>2132</v>
      </c>
      <c r="E895" s="10" t="str">
        <f>HYPERLINK("https://twitter.com/ErZuru2000/status/1065592059002855424","1065592059002855424")</f>
        <v>1065592059002855424</v>
      </c>
      <c r="F895" s="11"/>
      <c r="G895" s="11"/>
      <c r="H895" s="11"/>
      <c r="I895" s="12">
        <v>7</v>
      </c>
      <c r="J895" s="12">
        <v>11</v>
      </c>
      <c r="K895" s="13" t="str">
        <f t="shared" si="181"/>
        <v>Twitter Web Client</v>
      </c>
      <c r="L895" s="12">
        <v>2074</v>
      </c>
      <c r="M895" s="12">
        <v>892</v>
      </c>
      <c r="N895" s="12">
        <v>37</v>
      </c>
      <c r="O895" s="15"/>
      <c r="P895" s="6">
        <v>41752.22010416667</v>
      </c>
      <c r="Q895" s="11"/>
      <c r="R895" s="17" t="s">
        <v>2135</v>
      </c>
      <c r="S895" s="11"/>
      <c r="T895" s="11"/>
      <c r="U895" s="10" t="str">
        <f>HYPERLINK("https://pbs.twimg.com/profile_images/914918093855629312/kov0Z1F6.jpg","View")</f>
        <v>View</v>
      </c>
    </row>
    <row r="896" spans="1:21" ht="51">
      <c r="A896" s="6">
        <v>43426.211273148147</v>
      </c>
      <c r="B896" s="7" t="str">
        <f>HYPERLINK("https://twitter.com/canete707","@canete707")</f>
        <v>@canete707</v>
      </c>
      <c r="C896" s="8" t="s">
        <v>5448</v>
      </c>
      <c r="D896" s="9" t="s">
        <v>5466</v>
      </c>
      <c r="E896" s="10" t="str">
        <f>HYPERLINK("https://twitter.com/canete707/status/1065591786045874177","1065591786045874177")</f>
        <v>1065591786045874177</v>
      </c>
      <c r="F896" s="11"/>
      <c r="G896" s="11"/>
      <c r="H896" s="11"/>
      <c r="I896" s="12">
        <v>526</v>
      </c>
      <c r="J896" s="12">
        <v>949</v>
      </c>
      <c r="K896" s="13" t="str">
        <f>HYPERLINK("http://twitter.com/download/android","Twitter for Android")</f>
        <v>Twitter for Android</v>
      </c>
      <c r="L896" s="12">
        <v>6044</v>
      </c>
      <c r="M896" s="12">
        <v>908</v>
      </c>
      <c r="N896" s="12">
        <v>74</v>
      </c>
      <c r="O896" s="15"/>
      <c r="P896" s="6">
        <v>41322.109699074077</v>
      </c>
      <c r="Q896" s="16" t="s">
        <v>5453</v>
      </c>
      <c r="R896" s="17" t="s">
        <v>5454</v>
      </c>
      <c r="S896" s="11"/>
      <c r="T896" s="11"/>
      <c r="U896" s="10" t="str">
        <f>HYPERLINK("https://pbs.twimg.com/profile_images/1025044213396893696/dnCLU8X_.jpg","View")</f>
        <v>View</v>
      </c>
    </row>
    <row r="897" spans="1:21" ht="61.2">
      <c r="A897" s="6">
        <v>43426.210555555561</v>
      </c>
      <c r="B897" s="7" t="str">
        <f>HYPERLINK("https://twitter.com/Trankas4","@Trankas4")</f>
        <v>@Trankas4</v>
      </c>
      <c r="C897" s="8" t="s">
        <v>2139</v>
      </c>
      <c r="D897" s="9" t="s">
        <v>2140</v>
      </c>
      <c r="E897" s="10" t="str">
        <f>HYPERLINK("https://twitter.com/Trankas4/status/1065591529195151360","1065591529195151360")</f>
        <v>1065591529195151360</v>
      </c>
      <c r="F897" s="11"/>
      <c r="G897" s="11"/>
      <c r="H897" s="11"/>
      <c r="I897" s="12">
        <v>22</v>
      </c>
      <c r="J897" s="12">
        <v>38</v>
      </c>
      <c r="K897" s="13" t="str">
        <f>HYPERLINK("http://twitter.com","Twitter Web Client")</f>
        <v>Twitter Web Client</v>
      </c>
      <c r="L897" s="12">
        <v>1364</v>
      </c>
      <c r="M897" s="12">
        <v>1442</v>
      </c>
      <c r="N897" s="12">
        <v>1</v>
      </c>
      <c r="O897" s="15"/>
      <c r="P897" s="6">
        <v>43308.48238425926</v>
      </c>
      <c r="Q897" s="16" t="s">
        <v>2141</v>
      </c>
      <c r="R897" s="17" t="s">
        <v>2142</v>
      </c>
      <c r="S897" s="11"/>
      <c r="T897" s="11"/>
      <c r="U897" s="10" t="str">
        <f>HYPERLINK("https://pbs.twimg.com/profile_images/1053575329862877184/ffZ9OBWY.jpg","View")</f>
        <v>View</v>
      </c>
    </row>
    <row r="898" spans="1:21" ht="51">
      <c r="A898" s="6">
        <v>43426.210104166668</v>
      </c>
      <c r="B898" s="7" t="str">
        <f>HYPERLINK("https://twitter.com/criadosan","@criadosan")</f>
        <v>@criadosan</v>
      </c>
      <c r="C898" s="8" t="s">
        <v>5476</v>
      </c>
      <c r="D898" s="9" t="s">
        <v>5477</v>
      </c>
      <c r="E898" s="10" t="str">
        <f>HYPERLINK("https://twitter.com/criadosan/status/1065591364707078144","1065591364707078144")</f>
        <v>1065591364707078144</v>
      </c>
      <c r="F898" s="14" t="s">
        <v>5480</v>
      </c>
      <c r="G898" s="11"/>
      <c r="H898" s="11"/>
      <c r="I898" s="12">
        <v>9</v>
      </c>
      <c r="J898" s="12">
        <v>6</v>
      </c>
      <c r="K898" s="13" t="str">
        <f t="shared" ref="K898:K899" si="182">HYPERLINK("http://twitter.com/download/android","Twitter for Android")</f>
        <v>Twitter for Android</v>
      </c>
      <c r="L898" s="12">
        <v>5096</v>
      </c>
      <c r="M898" s="12">
        <v>3937</v>
      </c>
      <c r="N898" s="12">
        <v>15</v>
      </c>
      <c r="O898" s="15"/>
      <c r="P898" s="6">
        <v>41966.511886574073</v>
      </c>
      <c r="Q898" s="11"/>
      <c r="R898" s="17" t="s">
        <v>5483</v>
      </c>
      <c r="S898" s="11"/>
      <c r="T898" s="11"/>
      <c r="U898" s="10" t="str">
        <f>HYPERLINK("https://pbs.twimg.com/profile_images/538343815661486081/5lyKx_VJ.jpeg","View")</f>
        <v>View</v>
      </c>
    </row>
    <row r="899" spans="1:21" ht="30.6">
      <c r="A899" s="6">
        <v>43426.209502314814</v>
      </c>
      <c r="B899" s="7" t="str">
        <f>HYPERLINK("https://twitter.com/flopareris","@flopareris")</f>
        <v>@flopareris</v>
      </c>
      <c r="C899" s="27" t="s">
        <v>5487</v>
      </c>
      <c r="D899" s="9" t="s">
        <v>5488</v>
      </c>
      <c r="E899" s="10" t="str">
        <f>HYPERLINK("https://twitter.com/flopareris/status/1065591145911238656","1065591145911238656")</f>
        <v>1065591145911238656</v>
      </c>
      <c r="F899" s="11"/>
      <c r="G899" s="14" t="s">
        <v>5491</v>
      </c>
      <c r="H899" s="11"/>
      <c r="I899" s="12">
        <v>0</v>
      </c>
      <c r="J899" s="12">
        <v>0</v>
      </c>
      <c r="K899" s="13" t="str">
        <f t="shared" si="182"/>
        <v>Twitter for Android</v>
      </c>
      <c r="L899" s="12">
        <v>104</v>
      </c>
      <c r="M899" s="12">
        <v>435</v>
      </c>
      <c r="N899" s="12">
        <v>0</v>
      </c>
      <c r="O899" s="15"/>
      <c r="P899" s="6">
        <v>43341.306770833333</v>
      </c>
      <c r="Q899" s="16" t="s">
        <v>28</v>
      </c>
      <c r="R899" s="17" t="s">
        <v>5492</v>
      </c>
      <c r="S899" s="11"/>
      <c r="T899" s="11"/>
      <c r="U899" s="10" t="str">
        <f>HYPERLINK("https://pbs.twimg.com/profile_images/1034809819641851904/TnPswDiA.jpg","View")</f>
        <v>View</v>
      </c>
    </row>
    <row r="900" spans="1:21" ht="20.399999999999999">
      <c r="A900" s="6">
        <v>43426.208356481482</v>
      </c>
      <c r="B900" s="7" t="str">
        <f>HYPERLINK("https://twitter.com/rachescat","@rachescat")</f>
        <v>@rachescat</v>
      </c>
      <c r="C900" s="8" t="s">
        <v>5495</v>
      </c>
      <c r="D900" s="9" t="s">
        <v>5496</v>
      </c>
      <c r="E900" s="10" t="str">
        <f>HYPERLINK("https://twitter.com/rachescat/status/1065590730062786560","1065590730062786560")</f>
        <v>1065590730062786560</v>
      </c>
      <c r="F900" s="14" t="s">
        <v>529</v>
      </c>
      <c r="G900" s="11"/>
      <c r="H900" s="11"/>
      <c r="I900" s="12">
        <v>0</v>
      </c>
      <c r="J900" s="12">
        <v>0</v>
      </c>
      <c r="K900" s="13" t="str">
        <f t="shared" ref="K900:K901" si="183">HYPERLINK("http://twitter.com","Twitter Web Client")</f>
        <v>Twitter Web Client</v>
      </c>
      <c r="L900" s="12">
        <v>394</v>
      </c>
      <c r="M900" s="12">
        <v>1087</v>
      </c>
      <c r="N900" s="12">
        <v>22</v>
      </c>
      <c r="O900" s="15"/>
      <c r="P900" s="6">
        <v>40689.578842592593</v>
      </c>
      <c r="Q900" s="16" t="s">
        <v>5499</v>
      </c>
      <c r="R900" s="17" t="s">
        <v>5500</v>
      </c>
      <c r="S900" s="11"/>
      <c r="T900" s="11"/>
      <c r="U900" s="10" t="str">
        <f>HYPERLINK("https://pbs.twimg.com/profile_images/1025085449776365568/9kcVsgda.jpg","View")</f>
        <v>View</v>
      </c>
    </row>
    <row r="901" spans="1:21" ht="71.400000000000006">
      <c r="A901" s="6">
        <v>43426.207766203705</v>
      </c>
      <c r="B901" s="7" t="str">
        <f>HYPERLINK("https://twitter.com/nomedesporculo1","@nomedesporculo1")</f>
        <v>@nomedesporculo1</v>
      </c>
      <c r="C901" s="8" t="s">
        <v>2143</v>
      </c>
      <c r="D901" s="9" t="s">
        <v>2144</v>
      </c>
      <c r="E901" s="10" t="str">
        <f>HYPERLINK("https://twitter.com/nomedesporculo1/status/1065590515855499265","1065590515855499265")</f>
        <v>1065590515855499265</v>
      </c>
      <c r="F901" s="16" t="s">
        <v>1797</v>
      </c>
      <c r="G901" s="11"/>
      <c r="H901" s="11"/>
      <c r="I901" s="12">
        <v>0</v>
      </c>
      <c r="J901" s="12">
        <v>0</v>
      </c>
      <c r="K901" s="13" t="str">
        <f t="shared" si="183"/>
        <v>Twitter Web Client</v>
      </c>
      <c r="L901" s="12">
        <v>406</v>
      </c>
      <c r="M901" s="12">
        <v>552</v>
      </c>
      <c r="N901" s="12">
        <v>1</v>
      </c>
      <c r="O901" s="15"/>
      <c r="P901" s="6">
        <v>43229.129178240742</v>
      </c>
      <c r="Q901" s="16" t="s">
        <v>28</v>
      </c>
      <c r="R901" s="17" t="s">
        <v>2145</v>
      </c>
      <c r="S901" s="11"/>
      <c r="T901" s="11"/>
      <c r="U901" s="10" t="str">
        <f>HYPERLINK("https://pbs.twimg.com/profile_images/994246645255729152/cHfn_Hjl.jpg","View")</f>
        <v>View</v>
      </c>
    </row>
    <row r="902" spans="1:21" ht="20.399999999999999">
      <c r="A902" s="6">
        <v>43426.207384259258</v>
      </c>
      <c r="B902" s="7" t="str">
        <f>HYPERLINK("https://twitter.com/RadarMaracay","@RadarMaracay")</f>
        <v>@RadarMaracay</v>
      </c>
      <c r="C902" s="8" t="s">
        <v>616</v>
      </c>
      <c r="D902" s="9" t="s">
        <v>5505</v>
      </c>
      <c r="E902" s="10" t="str">
        <f>HYPERLINK("https://twitter.com/RadarMaracay/status/1065590379880292352","1065590379880292352")</f>
        <v>1065590379880292352</v>
      </c>
      <c r="F902" s="14" t="s">
        <v>5507</v>
      </c>
      <c r="G902" s="11"/>
      <c r="H902" s="11"/>
      <c r="I902" s="12">
        <v>0</v>
      </c>
      <c r="J902" s="12">
        <v>0</v>
      </c>
      <c r="K902" s="13" t="str">
        <f>HYPERLINK("https://ifttt.com","IFTTT")</f>
        <v>IFTTT</v>
      </c>
      <c r="L902" s="12">
        <v>414</v>
      </c>
      <c r="M902" s="12">
        <v>392</v>
      </c>
      <c r="N902" s="12">
        <v>1</v>
      </c>
      <c r="O902" s="15"/>
      <c r="P902" s="6">
        <v>42847.860775462963</v>
      </c>
      <c r="Q902" s="16" t="s">
        <v>620</v>
      </c>
      <c r="R902" s="17" t="s">
        <v>621</v>
      </c>
      <c r="S902" s="11"/>
      <c r="T902" s="11"/>
      <c r="U902" s="10" t="str">
        <f>HYPERLINK("https://pbs.twimg.com/profile_images/873615946396651522/mpk7NGY3.jpg","View")</f>
        <v>View</v>
      </c>
    </row>
    <row r="903" spans="1:21" ht="81.599999999999994">
      <c r="A903" s="6">
        <v>43426.207048611112</v>
      </c>
      <c r="B903" s="7" t="str">
        <f>HYPERLINK("https://twitter.com/CarolinaECardon","@CarolinaECardon")</f>
        <v>@CarolinaECardon</v>
      </c>
      <c r="C903" s="8" t="s">
        <v>5511</v>
      </c>
      <c r="D903" s="9" t="s">
        <v>5512</v>
      </c>
      <c r="E903" s="10" t="str">
        <f>HYPERLINK("https://twitter.com/CarolinaECardon/status/1065590256722997248","1065590256722997248")</f>
        <v>1065590256722997248</v>
      </c>
      <c r="F903" s="16" t="s">
        <v>1078</v>
      </c>
      <c r="G903" s="11"/>
      <c r="H903" s="11"/>
      <c r="I903" s="12">
        <v>0</v>
      </c>
      <c r="J903" s="12">
        <v>0</v>
      </c>
      <c r="K903" s="13" t="str">
        <f>HYPERLINK("http://twitter.com/download/android","Twitter for Android")</f>
        <v>Twitter for Android</v>
      </c>
      <c r="L903" s="12">
        <v>1107</v>
      </c>
      <c r="M903" s="12">
        <v>1311</v>
      </c>
      <c r="N903" s="12">
        <v>38</v>
      </c>
      <c r="O903" s="15"/>
      <c r="P903" s="6">
        <v>41538.547210648147</v>
      </c>
      <c r="Q903" s="16" t="s">
        <v>38</v>
      </c>
      <c r="R903" s="17" t="s">
        <v>5515</v>
      </c>
      <c r="S903" s="11"/>
      <c r="T903" s="11"/>
      <c r="U903" s="10" t="str">
        <f>HYPERLINK("https://pbs.twimg.com/profile_images/1008582926487998464/jrAt2bqh.jpg","View")</f>
        <v>View</v>
      </c>
    </row>
    <row r="904" spans="1:21" ht="40.799999999999997">
      <c r="A904" s="6">
        <v>43426.206689814819</v>
      </c>
      <c r="B904" s="7" t="str">
        <f>HYPERLINK("https://twitter.com/cargonpe88","@cargonpe88")</f>
        <v>@cargonpe88</v>
      </c>
      <c r="C904" s="8" t="s">
        <v>5518</v>
      </c>
      <c r="D904" s="9" t="s">
        <v>5520</v>
      </c>
      <c r="E904" s="10" t="str">
        <f>HYPERLINK("https://twitter.com/cargonpe88/status/1065590125629976576","1065590125629976576")</f>
        <v>1065590125629976576</v>
      </c>
      <c r="F904" s="14" t="s">
        <v>529</v>
      </c>
      <c r="G904" s="11"/>
      <c r="H904" s="11"/>
      <c r="I904" s="12">
        <v>0</v>
      </c>
      <c r="J904" s="12">
        <v>0</v>
      </c>
      <c r="K904" s="13" t="str">
        <f t="shared" ref="K904:K905" si="184">HYPERLINK("http://twitter.com","Twitter Web Client")</f>
        <v>Twitter Web Client</v>
      </c>
      <c r="L904" s="12">
        <v>35</v>
      </c>
      <c r="M904" s="12">
        <v>98</v>
      </c>
      <c r="N904" s="12">
        <v>1</v>
      </c>
      <c r="O904" s="15"/>
      <c r="P904" s="6">
        <v>40687.138738425929</v>
      </c>
      <c r="Q904" s="11"/>
      <c r="R904" s="19"/>
      <c r="S904" s="11"/>
      <c r="T904" s="11"/>
      <c r="U904" s="10" t="str">
        <f>HYPERLINK("https://pbs.twimg.com/profile_images/456906423092670464/a88Tkmx9.jpeg","View")</f>
        <v>View</v>
      </c>
    </row>
    <row r="905" spans="1:21" ht="71.400000000000006">
      <c r="A905" s="6">
        <v>43426.206261574072</v>
      </c>
      <c r="B905" s="7" t="str">
        <f>HYPERLINK("https://twitter.com/Bufigol","@Bufigol")</f>
        <v>@Bufigol</v>
      </c>
      <c r="C905" s="8" t="s">
        <v>2146</v>
      </c>
      <c r="D905" s="9" t="s">
        <v>2147</v>
      </c>
      <c r="E905" s="10" t="str">
        <f>HYPERLINK("https://twitter.com/Bufigol/status/1065589971866800128","1065589971866800128")</f>
        <v>1065589971866800128</v>
      </c>
      <c r="F905" s="16" t="s">
        <v>1742</v>
      </c>
      <c r="G905" s="14" t="s">
        <v>1431</v>
      </c>
      <c r="H905" s="11"/>
      <c r="I905" s="12">
        <v>0</v>
      </c>
      <c r="J905" s="12">
        <v>0</v>
      </c>
      <c r="K905" s="13" t="str">
        <f t="shared" si="184"/>
        <v>Twitter Web Client</v>
      </c>
      <c r="L905" s="12">
        <v>227</v>
      </c>
      <c r="M905" s="12">
        <v>510</v>
      </c>
      <c r="N905" s="12">
        <v>20</v>
      </c>
      <c r="O905" s="15"/>
      <c r="P905" s="6">
        <v>39926.410532407404</v>
      </c>
      <c r="Q905" s="16" t="s">
        <v>2148</v>
      </c>
      <c r="R905" s="17" t="s">
        <v>2149</v>
      </c>
      <c r="S905" s="14" t="s">
        <v>2150</v>
      </c>
      <c r="T905" s="11"/>
      <c r="U905" s="10" t="str">
        <f>HYPERLINK("https://pbs.twimg.com/profile_images/874661763005984768/-_EhP7ZE.jpg","View")</f>
        <v>View</v>
      </c>
    </row>
    <row r="906" spans="1:21" ht="40.799999999999997">
      <c r="A906" s="6">
        <v>43426.206157407403</v>
      </c>
      <c r="B906" s="7" t="str">
        <f>HYPERLINK("https://twitter.com/canete707","@canete707")</f>
        <v>@canete707</v>
      </c>
      <c r="C906" s="8" t="s">
        <v>5448</v>
      </c>
      <c r="D906" s="9" t="s">
        <v>5529</v>
      </c>
      <c r="E906" s="10" t="str">
        <f>HYPERLINK("https://twitter.com/canete707/status/1065589933266620417","1065589933266620417")</f>
        <v>1065589933266620417</v>
      </c>
      <c r="F906" s="11"/>
      <c r="G906" s="11"/>
      <c r="H906" s="11"/>
      <c r="I906" s="12">
        <v>10</v>
      </c>
      <c r="J906" s="12">
        <v>17</v>
      </c>
      <c r="K906" s="13" t="str">
        <f>HYPERLINK("http://twitter.com/download/android","Twitter for Android")</f>
        <v>Twitter for Android</v>
      </c>
      <c r="L906" s="12">
        <v>6044</v>
      </c>
      <c r="M906" s="12">
        <v>908</v>
      </c>
      <c r="N906" s="12">
        <v>74</v>
      </c>
      <c r="O906" s="15"/>
      <c r="P906" s="6">
        <v>41322.109699074077</v>
      </c>
      <c r="Q906" s="16" t="s">
        <v>5453</v>
      </c>
      <c r="R906" s="17" t="s">
        <v>5454</v>
      </c>
      <c r="S906" s="11"/>
      <c r="T906" s="11"/>
      <c r="U906" s="10" t="str">
        <f>HYPERLINK("https://pbs.twimg.com/profile_images/1025044213396893696/dnCLU8X_.jpg","View")</f>
        <v>View</v>
      </c>
    </row>
    <row r="907" spans="1:21" ht="61.2">
      <c r="A907" s="6">
        <v>43426.204976851848</v>
      </c>
      <c r="B907" s="7" t="str">
        <f>HYPERLINK("https://twitter.com/EDUARDOLEOPOL17","@EDUARDOLEOPOL17")</f>
        <v>@EDUARDOLEOPOL17</v>
      </c>
      <c r="C907" s="8" t="s">
        <v>2152</v>
      </c>
      <c r="D907" s="9" t="s">
        <v>2153</v>
      </c>
      <c r="E907" s="10" t="str">
        <f>HYPERLINK("https://twitter.com/EDUARDOLEOPOL17/status/1065589503836999680","1065589503836999680")</f>
        <v>1065589503836999680</v>
      </c>
      <c r="F907" s="14" t="s">
        <v>2154</v>
      </c>
      <c r="G907" s="11"/>
      <c r="H907" s="11"/>
      <c r="I907" s="12">
        <v>0</v>
      </c>
      <c r="J907" s="12">
        <v>0</v>
      </c>
      <c r="K907" s="13" t="str">
        <f t="shared" ref="K907:K908" si="185">HYPERLINK("http://twitter.com","Twitter Web Client")</f>
        <v>Twitter Web Client</v>
      </c>
      <c r="L907" s="12">
        <v>346</v>
      </c>
      <c r="M907" s="12">
        <v>348</v>
      </c>
      <c r="N907" s="12">
        <v>2</v>
      </c>
      <c r="O907" s="15"/>
      <c r="P907" s="6">
        <v>43287.722662037035</v>
      </c>
      <c r="Q907" s="16" t="s">
        <v>27</v>
      </c>
      <c r="R907" s="19"/>
      <c r="S907" s="11"/>
      <c r="T907" s="11"/>
      <c r="U907" s="10" t="str">
        <f>HYPERLINK("https://pbs.twimg.com/profile_images/1034197770616352768/aEVoRqKT.jpg","View")</f>
        <v>View</v>
      </c>
    </row>
    <row r="908" spans="1:21" ht="51">
      <c r="A908" s="6">
        <v>43426.204618055555</v>
      </c>
      <c r="B908" s="7" t="str">
        <f>HYPERLINK("https://twitter.com/AbiertoForo","@AbiertoForo")</f>
        <v>@AbiertoForo</v>
      </c>
      <c r="C908" s="8" t="s">
        <v>5543</v>
      </c>
      <c r="D908" s="9" t="s">
        <v>5544</v>
      </c>
      <c r="E908" s="10" t="str">
        <f>HYPERLINK("https://twitter.com/AbiertoForo/status/1065589374308573185","1065589374308573185")</f>
        <v>1065589374308573185</v>
      </c>
      <c r="F908" s="11"/>
      <c r="G908" s="11"/>
      <c r="H908" s="11"/>
      <c r="I908" s="12">
        <v>0</v>
      </c>
      <c r="J908" s="12">
        <v>0</v>
      </c>
      <c r="K908" s="13" t="str">
        <f t="shared" si="185"/>
        <v>Twitter Web Client</v>
      </c>
      <c r="L908" s="12">
        <v>313</v>
      </c>
      <c r="M908" s="12">
        <v>84</v>
      </c>
      <c r="N908" s="12">
        <v>4</v>
      </c>
      <c r="O908" s="15"/>
      <c r="P908" s="6">
        <v>42844.460081018522</v>
      </c>
      <c r="Q908" s="11"/>
      <c r="R908" s="17" t="s">
        <v>5546</v>
      </c>
      <c r="S908" s="11"/>
      <c r="T908" s="11"/>
      <c r="U908" s="10" t="str">
        <f>HYPERLINK("https://pbs.twimg.com/profile_images/854962625700134912/JHgAc3dA.jpg","View")</f>
        <v>View</v>
      </c>
    </row>
    <row r="909" spans="1:21" ht="30.6">
      <c r="A909" s="6">
        <v>43426.204456018517</v>
      </c>
      <c r="B909" s="7" t="str">
        <f>HYPERLINK("https://twitter.com/_alpakaa","@_alpakaa")</f>
        <v>@_alpakaa</v>
      </c>
      <c r="C909" s="8" t="s">
        <v>5548</v>
      </c>
      <c r="D909" s="9" t="s">
        <v>3304</v>
      </c>
      <c r="E909" s="10" t="str">
        <f>HYPERLINK("https://twitter.com/_alpakaa/status/1065589318830444544","1065589318830444544")</f>
        <v>1065589318830444544</v>
      </c>
      <c r="F909" s="11"/>
      <c r="G909" s="11"/>
      <c r="H909" s="11"/>
      <c r="I909" s="12">
        <v>1</v>
      </c>
      <c r="J909" s="12">
        <v>13</v>
      </c>
      <c r="K909" s="13" t="str">
        <f t="shared" ref="K909:K911" si="186">HYPERLINK("http://twitter.com/download/android","Twitter for Android")</f>
        <v>Twitter for Android</v>
      </c>
      <c r="L909" s="12">
        <v>238</v>
      </c>
      <c r="M909" s="12">
        <v>658</v>
      </c>
      <c r="N909" s="12">
        <v>1</v>
      </c>
      <c r="O909" s="15"/>
      <c r="P909" s="6">
        <v>42334.532418981486</v>
      </c>
      <c r="Q909" s="16" t="s">
        <v>5552</v>
      </c>
      <c r="R909" s="17" t="s">
        <v>5553</v>
      </c>
      <c r="S909" s="11"/>
      <c r="T909" s="11"/>
      <c r="U909" s="10" t="str">
        <f>HYPERLINK("https://pbs.twimg.com/profile_images/1046404708678729729/AT2TSZpJ.jpg","View")</f>
        <v>View</v>
      </c>
    </row>
    <row r="910" spans="1:21" ht="30.6">
      <c r="A910" s="6">
        <v>43426.204282407409</v>
      </c>
      <c r="B910" s="7" t="str">
        <f>HYPERLINK("https://twitter.com/EstaNoEsAlmu","@EstaNoEsAlmu")</f>
        <v>@EstaNoEsAlmu</v>
      </c>
      <c r="C910" s="8" t="s">
        <v>5557</v>
      </c>
      <c r="D910" s="9" t="s">
        <v>3304</v>
      </c>
      <c r="E910" s="10" t="str">
        <f>HYPERLINK("https://twitter.com/EstaNoEsAlmu/status/1065589253613203457","1065589253613203457")</f>
        <v>1065589253613203457</v>
      </c>
      <c r="F910" s="11"/>
      <c r="G910" s="11"/>
      <c r="H910" s="11"/>
      <c r="I910" s="12">
        <v>0</v>
      </c>
      <c r="J910" s="12">
        <v>5</v>
      </c>
      <c r="K910" s="13" t="str">
        <f t="shared" si="186"/>
        <v>Twitter for Android</v>
      </c>
      <c r="L910" s="12">
        <v>259</v>
      </c>
      <c r="M910" s="12">
        <v>214</v>
      </c>
      <c r="N910" s="12">
        <v>2</v>
      </c>
      <c r="O910" s="15"/>
      <c r="P910" s="6">
        <v>42134.343275462961</v>
      </c>
      <c r="Q910" s="16" t="s">
        <v>38</v>
      </c>
      <c r="R910" s="17" t="s">
        <v>5560</v>
      </c>
      <c r="S910" s="14" t="s">
        <v>5561</v>
      </c>
      <c r="T910" s="11"/>
      <c r="U910" s="10" t="str">
        <f>HYPERLINK("https://pbs.twimg.com/profile_images/1064138387605594112/7lKnRwrt.jpg","View")</f>
        <v>View</v>
      </c>
    </row>
    <row r="911" spans="1:21" ht="30.6">
      <c r="A911" s="6">
        <v>43426.203935185185</v>
      </c>
      <c r="B911" s="7" t="str">
        <f>HYPERLINK("https://twitter.com/NdeeNegro","@NdeeNegro")</f>
        <v>@NdeeNegro</v>
      </c>
      <c r="C911" s="8" t="s">
        <v>5565</v>
      </c>
      <c r="D911" s="9" t="s">
        <v>3304</v>
      </c>
      <c r="E911" s="10" t="str">
        <f>HYPERLINK("https://twitter.com/NdeeNegro/status/1065589128786530304","1065589128786530304")</f>
        <v>1065589128786530304</v>
      </c>
      <c r="F911" s="11"/>
      <c r="G911" s="11"/>
      <c r="H911" s="11"/>
      <c r="I911" s="12">
        <v>0</v>
      </c>
      <c r="J911" s="12">
        <v>3</v>
      </c>
      <c r="K911" s="13" t="str">
        <f t="shared" si="186"/>
        <v>Twitter for Android</v>
      </c>
      <c r="L911" s="12">
        <v>119</v>
      </c>
      <c r="M911" s="12">
        <v>292</v>
      </c>
      <c r="N911" s="12">
        <v>5</v>
      </c>
      <c r="O911" s="15"/>
      <c r="P911" s="6">
        <v>41458.07984953704</v>
      </c>
      <c r="Q911" s="16" t="s">
        <v>5568</v>
      </c>
      <c r="R911" s="17" t="s">
        <v>5569</v>
      </c>
      <c r="S911" s="11"/>
      <c r="T911" s="11"/>
      <c r="U911" s="10" t="str">
        <f>HYPERLINK("https://pbs.twimg.com/profile_images/1061008314002259969/pH9vXRGN.jpg","View")</f>
        <v>View</v>
      </c>
    </row>
    <row r="912" spans="1:21" ht="40.799999999999997">
      <c r="A912" s="6">
        <v>43426.203726851847</v>
      </c>
      <c r="B912" s="7" t="str">
        <f>HYPERLINK("https://twitter.com/18921981","@18921981")</f>
        <v>@18921981</v>
      </c>
      <c r="C912" s="8" t="s">
        <v>3616</v>
      </c>
      <c r="D912" s="9" t="s">
        <v>1573</v>
      </c>
      <c r="E912" s="10" t="str">
        <f>HYPERLINK("https://twitter.com/18921981/status/1065589051401650178","1065589051401650178")</f>
        <v>1065589051401650178</v>
      </c>
      <c r="F912" s="14" t="s">
        <v>1219</v>
      </c>
      <c r="G912" s="11"/>
      <c r="H912" s="11"/>
      <c r="I912" s="12">
        <v>0</v>
      </c>
      <c r="J912" s="12">
        <v>0</v>
      </c>
      <c r="K912" s="13" t="str">
        <f t="shared" ref="K912:K913" si="187">HYPERLINK("http://twitter.com","Twitter Web Client")</f>
        <v>Twitter Web Client</v>
      </c>
      <c r="L912" s="12">
        <v>267</v>
      </c>
      <c r="M912" s="12">
        <v>194</v>
      </c>
      <c r="N912" s="12">
        <v>5</v>
      </c>
      <c r="O912" s="15"/>
      <c r="P912" s="6">
        <v>41345.453333333331</v>
      </c>
      <c r="Q912" s="11"/>
      <c r="R912" s="17" t="s">
        <v>3623</v>
      </c>
      <c r="S912" s="11"/>
      <c r="T912" s="11"/>
      <c r="U912" s="10" t="str">
        <f>HYPERLINK("https://pbs.twimg.com/profile_images/872051643130556419/5PEVvB0_.jpg","View")</f>
        <v>View</v>
      </c>
    </row>
    <row r="913" spans="1:21" ht="51">
      <c r="A913" s="6">
        <v>43426.203333333338</v>
      </c>
      <c r="B913" s="7" t="str">
        <f>HYPERLINK("https://twitter.com/espensertreisi","@espensertreisi")</f>
        <v>@espensertreisi</v>
      </c>
      <c r="C913" s="8" t="s">
        <v>5576</v>
      </c>
      <c r="D913" s="9" t="s">
        <v>5577</v>
      </c>
      <c r="E913" s="10" t="str">
        <f>HYPERLINK("https://twitter.com/espensertreisi/status/1065588909340585984","1065588909340585984")</f>
        <v>1065588909340585984</v>
      </c>
      <c r="F913" s="11"/>
      <c r="G913" s="11"/>
      <c r="H913" s="11"/>
      <c r="I913" s="12">
        <v>0</v>
      </c>
      <c r="J913" s="12">
        <v>0</v>
      </c>
      <c r="K913" s="13" t="str">
        <f t="shared" si="187"/>
        <v>Twitter Web Client</v>
      </c>
      <c r="L913" s="12">
        <v>4</v>
      </c>
      <c r="M913" s="12">
        <v>5</v>
      </c>
      <c r="N913" s="12">
        <v>0</v>
      </c>
      <c r="O913" s="15"/>
      <c r="P913" s="6">
        <v>40767.31212962963</v>
      </c>
      <c r="Q913" s="16" t="s">
        <v>5580</v>
      </c>
      <c r="R913" s="17" t="s">
        <v>5581</v>
      </c>
      <c r="S913" s="11"/>
      <c r="T913" s="11"/>
      <c r="U913" s="18" t="s">
        <v>168</v>
      </c>
    </row>
    <row r="914" spans="1:21" ht="40.799999999999997">
      <c r="A914" s="6">
        <v>43426.203206018516</v>
      </c>
      <c r="B914" s="7" t="str">
        <f>HYPERLINK("https://twitter.com/biporwave","@biporwave")</f>
        <v>@biporwave</v>
      </c>
      <c r="C914" s="8" t="s">
        <v>5582</v>
      </c>
      <c r="D914" s="9" t="s">
        <v>3304</v>
      </c>
      <c r="E914" s="10" t="str">
        <f>HYPERLINK("https://twitter.com/biporwave/status/1065588862305619969","1065588862305619969")</f>
        <v>1065588862305619969</v>
      </c>
      <c r="F914" s="11"/>
      <c r="G914" s="11"/>
      <c r="H914" s="11"/>
      <c r="I914" s="12">
        <v>0</v>
      </c>
      <c r="J914" s="12">
        <v>3</v>
      </c>
      <c r="K914" s="13" t="str">
        <f t="shared" ref="K914:K915" si="188">HYPERLINK("http://twitter.com/download/android","Twitter for Android")</f>
        <v>Twitter for Android</v>
      </c>
      <c r="L914" s="12">
        <v>649</v>
      </c>
      <c r="M914" s="12">
        <v>783</v>
      </c>
      <c r="N914" s="12">
        <v>17</v>
      </c>
      <c r="O914" s="15"/>
      <c r="P914" s="6">
        <v>42388.077268518522</v>
      </c>
      <c r="Q914" s="16" t="s">
        <v>5585</v>
      </c>
      <c r="R914" s="17" t="s">
        <v>5586</v>
      </c>
      <c r="S914" s="14" t="s">
        <v>5587</v>
      </c>
      <c r="T914" s="11"/>
      <c r="U914" s="10" t="str">
        <f>HYPERLINK("https://pbs.twimg.com/profile_images/1061627277811900422/uZedFEDW.jpg","View")</f>
        <v>View</v>
      </c>
    </row>
    <row r="915" spans="1:21" ht="51">
      <c r="A915" s="6">
        <v>43426.202916666662</v>
      </c>
      <c r="B915" s="7" t="str">
        <f>HYPERLINK("https://twitter.com/FreireALFONSO","@FreireALFONSO")</f>
        <v>@FreireALFONSO</v>
      </c>
      <c r="C915" s="8" t="s">
        <v>434</v>
      </c>
      <c r="D915" s="9" t="s">
        <v>2156</v>
      </c>
      <c r="E915" s="10" t="str">
        <f>HYPERLINK("https://twitter.com/FreireALFONSO/status/1065588761038397441","1065588761038397441")</f>
        <v>1065588761038397441</v>
      </c>
      <c r="F915" s="14" t="s">
        <v>96</v>
      </c>
      <c r="G915" s="11"/>
      <c r="H915" s="11"/>
      <c r="I915" s="12">
        <v>0</v>
      </c>
      <c r="J915" s="12">
        <v>0</v>
      </c>
      <c r="K915" s="13" t="str">
        <f t="shared" si="188"/>
        <v>Twitter for Android</v>
      </c>
      <c r="L915" s="12">
        <v>101</v>
      </c>
      <c r="M915" s="12">
        <v>83</v>
      </c>
      <c r="N915" s="12">
        <v>4</v>
      </c>
      <c r="O915" s="15"/>
      <c r="P915" s="6">
        <v>41195.490740740745</v>
      </c>
      <c r="Q915" s="16" t="s">
        <v>439</v>
      </c>
      <c r="R915" s="17" t="s">
        <v>440</v>
      </c>
      <c r="S915" s="11"/>
      <c r="T915" s="11"/>
      <c r="U915" s="10" t="str">
        <f>HYPERLINK("https://pbs.twimg.com/profile_images/1040311561552887808/pTkAtlbw.jpg","View")</f>
        <v>View</v>
      </c>
    </row>
    <row r="916" spans="1:21" ht="20.399999999999999">
      <c r="A916" s="6">
        <v>43426.202835648146</v>
      </c>
      <c r="B916" s="7" t="str">
        <f>HYPERLINK("https://twitter.com/RAVALEIX","@RAVALEIX")</f>
        <v>@RAVALEIX</v>
      </c>
      <c r="C916" s="8" t="s">
        <v>5596</v>
      </c>
      <c r="D916" s="9" t="s">
        <v>768</v>
      </c>
      <c r="E916" s="10" t="str">
        <f>HYPERLINK("https://twitter.com/RAVALEIX/status/1065588729002295297","1065588729002295297")</f>
        <v>1065588729002295297</v>
      </c>
      <c r="F916" s="14" t="s">
        <v>529</v>
      </c>
      <c r="G916" s="11"/>
      <c r="H916" s="11"/>
      <c r="I916" s="12">
        <v>0</v>
      </c>
      <c r="J916" s="12">
        <v>0</v>
      </c>
      <c r="K916" s="13" t="str">
        <f t="shared" ref="K916:K918" si="189">HYPERLINK("http://twitter.com","Twitter Web Client")</f>
        <v>Twitter Web Client</v>
      </c>
      <c r="L916" s="12">
        <v>53</v>
      </c>
      <c r="M916" s="12">
        <v>167</v>
      </c>
      <c r="N916" s="12">
        <v>0</v>
      </c>
      <c r="O916" s="15"/>
      <c r="P916" s="6">
        <v>43392.254143518519</v>
      </c>
      <c r="Q916" s="11"/>
      <c r="R916" s="19"/>
      <c r="S916" s="11"/>
      <c r="T916" s="11"/>
      <c r="U916" s="10" t="str">
        <f>HYPERLINK("https://pbs.twimg.com/profile_images/1053277645520154624/XUxLkaOc.jpg","View")</f>
        <v>View</v>
      </c>
    </row>
    <row r="917" spans="1:21" ht="30.6">
      <c r="A917" s="6">
        <v>43426.202314814815</v>
      </c>
      <c r="B917" s="7" t="str">
        <f>HYPERLINK("https://twitter.com/cbotellac","@cbotellac")</f>
        <v>@cbotellac</v>
      </c>
      <c r="C917" s="8" t="s">
        <v>2162</v>
      </c>
      <c r="D917" s="9" t="s">
        <v>2163</v>
      </c>
      <c r="E917" s="10" t="str">
        <f>HYPERLINK("https://twitter.com/cbotellac/status/1065588540317360129","1065588540317360129")</f>
        <v>1065588540317360129</v>
      </c>
      <c r="F917" s="14" t="s">
        <v>2164</v>
      </c>
      <c r="G917" s="11"/>
      <c r="H917" s="11"/>
      <c r="I917" s="12">
        <v>1</v>
      </c>
      <c r="J917" s="12">
        <v>4</v>
      </c>
      <c r="K917" s="13" t="str">
        <f t="shared" si="189"/>
        <v>Twitter Web Client</v>
      </c>
      <c r="L917" s="12">
        <v>188</v>
      </c>
      <c r="M917" s="12">
        <v>496</v>
      </c>
      <c r="N917" s="12">
        <v>23</v>
      </c>
      <c r="O917" s="15"/>
      <c r="P917" s="6">
        <v>40491.486840277779</v>
      </c>
      <c r="Q917" s="16" t="s">
        <v>27</v>
      </c>
      <c r="R917" s="17" t="s">
        <v>2165</v>
      </c>
      <c r="S917" s="11"/>
      <c r="T917" s="11"/>
      <c r="U917" s="10" t="str">
        <f>HYPERLINK("https://pbs.twimg.com/profile_images/3732443080/547316d81a8e023ce8b149bd6748b136.jpeg","View")</f>
        <v>View</v>
      </c>
    </row>
    <row r="918" spans="1:21" ht="51">
      <c r="A918" s="6">
        <v>43426.201898148152</v>
      </c>
      <c r="B918" s="7" t="str">
        <f>HYPERLINK("https://twitter.com/DelirioSport","@DelirioSport")</f>
        <v>@DelirioSport</v>
      </c>
      <c r="C918" s="8" t="s">
        <v>5597</v>
      </c>
      <c r="D918" s="9" t="s">
        <v>5598</v>
      </c>
      <c r="E918" s="10" t="str">
        <f>HYPERLINK("https://twitter.com/DelirioSport/status/1065588389666349056","1065588389666349056")</f>
        <v>1065588389666349056</v>
      </c>
      <c r="F918" s="11"/>
      <c r="G918" s="11"/>
      <c r="H918" s="11"/>
      <c r="I918" s="12">
        <v>0</v>
      </c>
      <c r="J918" s="12">
        <v>0</v>
      </c>
      <c r="K918" s="13" t="str">
        <f t="shared" si="189"/>
        <v>Twitter Web Client</v>
      </c>
      <c r="L918" s="12">
        <v>348</v>
      </c>
      <c r="M918" s="12">
        <v>119</v>
      </c>
      <c r="N918" s="12">
        <v>11</v>
      </c>
      <c r="O918" s="15"/>
      <c r="P918" s="6">
        <v>40919.51326388889</v>
      </c>
      <c r="Q918" s="16" t="s">
        <v>5599</v>
      </c>
      <c r="R918" s="17" t="s">
        <v>5600</v>
      </c>
      <c r="S918" s="14" t="s">
        <v>5601</v>
      </c>
      <c r="T918" s="11"/>
      <c r="U918" s="10" t="str">
        <f>HYPERLINK("https://pbs.twimg.com/profile_images/903693021136523265/lhqswWgE.jpg","View")</f>
        <v>View</v>
      </c>
    </row>
    <row r="919" spans="1:21" ht="40.799999999999997">
      <c r="A919" s="6">
        <v>43426.20175925926</v>
      </c>
      <c r="B919" s="7" t="str">
        <f>HYPERLINK("https://twitter.com/PodemVilaSeca","@PodemVilaSeca")</f>
        <v>@PodemVilaSeca</v>
      </c>
      <c r="C919" s="8" t="s">
        <v>5602</v>
      </c>
      <c r="D919" s="9" t="s">
        <v>5603</v>
      </c>
      <c r="E919" s="10" t="str">
        <f>HYPERLINK("https://twitter.com/PodemVilaSeca/status/1065588340962021376","1065588340962021376")</f>
        <v>1065588340962021376</v>
      </c>
      <c r="F919" s="14" t="s">
        <v>96</v>
      </c>
      <c r="G919" s="11"/>
      <c r="H919" s="11"/>
      <c r="I919" s="12">
        <v>0</v>
      </c>
      <c r="J919" s="12">
        <v>0</v>
      </c>
      <c r="K919" s="13" t="str">
        <f>HYPERLINK("http://www.facebook.com/twitter","Facebook")</f>
        <v>Facebook</v>
      </c>
      <c r="L919" s="12">
        <v>1647</v>
      </c>
      <c r="M919" s="12">
        <v>868</v>
      </c>
      <c r="N919" s="12">
        <v>20</v>
      </c>
      <c r="O919" s="15"/>
      <c r="P919" s="6">
        <v>41804.148680555554</v>
      </c>
      <c r="Q919" s="16" t="s">
        <v>5604</v>
      </c>
      <c r="R919" s="17" t="s">
        <v>5605</v>
      </c>
      <c r="S919" s="14" t="s">
        <v>5606</v>
      </c>
      <c r="T919" s="11"/>
      <c r="U919" s="10" t="str">
        <f>HYPERLINK("https://pbs.twimg.com/profile_images/675729074472558592/_g4y-zBp.jpg","View")</f>
        <v>View</v>
      </c>
    </row>
    <row r="920" spans="1:21" ht="40.799999999999997">
      <c r="A920" s="6">
        <v>43426.200555555552</v>
      </c>
      <c r="B920" s="7" t="str">
        <f>HYPERLINK("https://twitter.com/nukessu","@nukessu")</f>
        <v>@nukessu</v>
      </c>
      <c r="C920" s="8" t="s">
        <v>5607</v>
      </c>
      <c r="D920" s="9" t="s">
        <v>5608</v>
      </c>
      <c r="E920" s="10" t="str">
        <f>HYPERLINK("https://twitter.com/nukessu/status/1065587905194684418","1065587905194684418")</f>
        <v>1065587905194684418</v>
      </c>
      <c r="F920" s="14" t="s">
        <v>96</v>
      </c>
      <c r="G920" s="11"/>
      <c r="H920" s="11"/>
      <c r="I920" s="12">
        <v>0</v>
      </c>
      <c r="J920" s="12">
        <v>0</v>
      </c>
      <c r="K920" s="13" t="str">
        <f>HYPERLINK("http://twitter.com","Twitter Web Client")</f>
        <v>Twitter Web Client</v>
      </c>
      <c r="L920" s="12">
        <v>117</v>
      </c>
      <c r="M920" s="12">
        <v>224</v>
      </c>
      <c r="N920" s="12">
        <v>3</v>
      </c>
      <c r="O920" s="15"/>
      <c r="P920" s="6">
        <v>42834.256284722222</v>
      </c>
      <c r="Q920" s="16" t="s">
        <v>5609</v>
      </c>
      <c r="R920" s="17" t="s">
        <v>5610</v>
      </c>
      <c r="S920" s="11"/>
      <c r="T920" s="11"/>
      <c r="U920" s="10" t="str">
        <f>HYPERLINK("https://pbs.twimg.com/profile_images/859717654172622848/P-2xvRry.jpg","View")</f>
        <v>View</v>
      </c>
    </row>
    <row r="921" spans="1:21" ht="30.6">
      <c r="A921" s="6">
        <v>43426.200173611112</v>
      </c>
      <c r="B921" s="7" t="str">
        <f>HYPERLINK("https://twitter.com/Kilombo47343118","@Kilombo47343118")</f>
        <v>@Kilombo47343118</v>
      </c>
      <c r="C921" s="8" t="s">
        <v>2168</v>
      </c>
      <c r="D921" s="9" t="s">
        <v>2169</v>
      </c>
      <c r="E921" s="10" t="str">
        <f>HYPERLINK("https://twitter.com/Kilombo47343118/status/1065587764312375296","1065587764312375296")</f>
        <v>1065587764312375296</v>
      </c>
      <c r="F921" s="11"/>
      <c r="G921" s="11"/>
      <c r="H921" s="11"/>
      <c r="I921" s="12">
        <v>0</v>
      </c>
      <c r="J921" s="12">
        <v>0</v>
      </c>
      <c r="K921" s="13" t="str">
        <f t="shared" ref="K921:K923" si="190">HYPERLINK("http://twitter.com/download/android","Twitter for Android")</f>
        <v>Twitter for Android</v>
      </c>
      <c r="L921" s="12">
        <v>15</v>
      </c>
      <c r="M921" s="12">
        <v>32</v>
      </c>
      <c r="N921" s="12">
        <v>0</v>
      </c>
      <c r="O921" s="15"/>
      <c r="P921" s="6">
        <v>43397.268414351856</v>
      </c>
      <c r="Q921" s="11"/>
      <c r="R921" s="17" t="s">
        <v>2171</v>
      </c>
      <c r="S921" s="11"/>
      <c r="T921" s="11"/>
      <c r="U921" s="10" t="str">
        <f>HYPERLINK("https://pbs.twimg.com/profile_images/1055089343436595200/dcsBjjVl.jpg","View")</f>
        <v>View</v>
      </c>
    </row>
    <row r="922" spans="1:21" ht="40.799999999999997">
      <c r="A922" s="6">
        <v>43426.199976851851</v>
      </c>
      <c r="B922" s="7" t="str">
        <f>HYPERLINK("https://twitter.com/compromtido22","@compromtido22")</f>
        <v>@compromtido22</v>
      </c>
      <c r="C922" s="8" t="s">
        <v>5611</v>
      </c>
      <c r="D922" s="9" t="s">
        <v>5612</v>
      </c>
      <c r="E922" s="10" t="str">
        <f>HYPERLINK("https://twitter.com/compromtido22/status/1065587694733021184","1065587694733021184")</f>
        <v>1065587694733021184</v>
      </c>
      <c r="F922" s="11"/>
      <c r="G922" s="14" t="s">
        <v>5613</v>
      </c>
      <c r="H922" s="11"/>
      <c r="I922" s="12">
        <v>0</v>
      </c>
      <c r="J922" s="12">
        <v>0</v>
      </c>
      <c r="K922" s="13" t="str">
        <f t="shared" si="190"/>
        <v>Twitter for Android</v>
      </c>
      <c r="L922" s="12">
        <v>962</v>
      </c>
      <c r="M922" s="12">
        <v>859</v>
      </c>
      <c r="N922" s="12">
        <v>15</v>
      </c>
      <c r="O922" s="15"/>
      <c r="P922" s="6">
        <v>42411.457291666666</v>
      </c>
      <c r="Q922" s="11"/>
      <c r="R922" s="17" t="s">
        <v>5614</v>
      </c>
      <c r="S922" s="11"/>
      <c r="T922" s="11"/>
      <c r="U922" s="10" t="str">
        <f>HYPERLINK("https://pbs.twimg.com/profile_images/1062806370267860993/RfSkyzB-.jpg","View")</f>
        <v>View</v>
      </c>
    </row>
    <row r="923" spans="1:21" ht="40.799999999999997">
      <c r="A923" s="6">
        <v>43426.199918981481</v>
      </c>
      <c r="B923" s="7" t="str">
        <f>HYPERLINK("https://twitter.com/canete707","@canete707")</f>
        <v>@canete707</v>
      </c>
      <c r="C923" s="8" t="s">
        <v>5448</v>
      </c>
      <c r="D923" s="9" t="s">
        <v>5615</v>
      </c>
      <c r="E923" s="10" t="str">
        <f>HYPERLINK("https://twitter.com/canete707/status/1065587672515833856","1065587672515833856")</f>
        <v>1065587672515833856</v>
      </c>
      <c r="F923" s="11"/>
      <c r="G923" s="11"/>
      <c r="H923" s="11"/>
      <c r="I923" s="12">
        <v>6</v>
      </c>
      <c r="J923" s="12">
        <v>15</v>
      </c>
      <c r="K923" s="13" t="str">
        <f t="shared" si="190"/>
        <v>Twitter for Android</v>
      </c>
      <c r="L923" s="12">
        <v>6044</v>
      </c>
      <c r="M923" s="12">
        <v>908</v>
      </c>
      <c r="N923" s="12">
        <v>74</v>
      </c>
      <c r="O923" s="15"/>
      <c r="P923" s="6">
        <v>41322.109699074077</v>
      </c>
      <c r="Q923" s="16" t="s">
        <v>5453</v>
      </c>
      <c r="R923" s="17" t="s">
        <v>5454</v>
      </c>
      <c r="S923" s="11"/>
      <c r="T923" s="11"/>
      <c r="U923" s="10" t="str">
        <f>HYPERLINK("https://pbs.twimg.com/profile_images/1025044213396893696/dnCLU8X_.jpg","View")</f>
        <v>View</v>
      </c>
    </row>
    <row r="924" spans="1:21" ht="30.6">
      <c r="A924" s="6">
        <v>43426.199791666666</v>
      </c>
      <c r="B924" s="7" t="str">
        <f>HYPERLINK("https://twitter.com/RadarApure","@RadarApure")</f>
        <v>@RadarApure</v>
      </c>
      <c r="C924" s="8" t="s">
        <v>346</v>
      </c>
      <c r="D924" s="9" t="s">
        <v>5505</v>
      </c>
      <c r="E924" s="10" t="str">
        <f>HYPERLINK("https://twitter.com/RadarApure/status/1065587627196338176","1065587627196338176")</f>
        <v>1065587627196338176</v>
      </c>
      <c r="F924" s="14" t="s">
        <v>5507</v>
      </c>
      <c r="G924" s="11"/>
      <c r="H924" s="11"/>
      <c r="I924" s="12">
        <v>0</v>
      </c>
      <c r="J924" s="12">
        <v>0</v>
      </c>
      <c r="K924" s="13" t="str">
        <f>HYPERLINK("https://ifttt.com","IFTTT")</f>
        <v>IFTTT</v>
      </c>
      <c r="L924" s="12">
        <v>214</v>
      </c>
      <c r="M924" s="12">
        <v>187</v>
      </c>
      <c r="N924" s="12">
        <v>0</v>
      </c>
      <c r="O924" s="15"/>
      <c r="P924" s="6">
        <v>42813.863263888888</v>
      </c>
      <c r="Q924" s="16" t="s">
        <v>348</v>
      </c>
      <c r="R924" s="17" t="s">
        <v>350</v>
      </c>
      <c r="S924" s="11"/>
      <c r="T924" s="11"/>
      <c r="U924" s="10" t="str">
        <f>HYPERLINK("https://pbs.twimg.com/profile_images/1033946880860991488/DSNgEsbe.jpg","View")</f>
        <v>View</v>
      </c>
    </row>
    <row r="925" spans="1:21" ht="30.6">
      <c r="A925" s="6">
        <v>43426.19908564815</v>
      </c>
      <c r="B925" s="7" t="str">
        <f>HYPERLINK("https://twitter.com/TheFuckingCRack","@TheFuckingCRack")</f>
        <v>@TheFuckingCRack</v>
      </c>
      <c r="C925" s="8" t="s">
        <v>5616</v>
      </c>
      <c r="D925" s="9" t="s">
        <v>5617</v>
      </c>
      <c r="E925" s="10" t="str">
        <f>HYPERLINK("https://twitter.com/TheFuckingCRack/status/1065587370601402370","1065587370601402370")</f>
        <v>1065587370601402370</v>
      </c>
      <c r="F925" s="11"/>
      <c r="G925" s="11"/>
      <c r="H925" s="11"/>
      <c r="I925" s="12">
        <v>0</v>
      </c>
      <c r="J925" s="12">
        <v>3</v>
      </c>
      <c r="K925" s="13" t="str">
        <f>HYPERLINK("http://twitter.com/download/android","Twitter for Android")</f>
        <v>Twitter for Android</v>
      </c>
      <c r="L925" s="12">
        <v>75</v>
      </c>
      <c r="M925" s="12">
        <v>203</v>
      </c>
      <c r="N925" s="12">
        <v>0</v>
      </c>
      <c r="O925" s="15"/>
      <c r="P925" s="6">
        <v>41022.133993055555</v>
      </c>
      <c r="Q925" s="16" t="s">
        <v>5618</v>
      </c>
      <c r="R925" s="17" t="s">
        <v>5619</v>
      </c>
      <c r="S925" s="11"/>
      <c r="T925" s="11"/>
      <c r="U925" s="10" t="str">
        <f>HYPERLINK("https://pbs.twimg.com/profile_images/1031957932412489728/tuwaKQn3.jpg","View")</f>
        <v>View</v>
      </c>
    </row>
    <row r="926" spans="1:21" ht="40.799999999999997">
      <c r="A926" s="6">
        <v>43426.198912037042</v>
      </c>
      <c r="B926" s="7" t="str">
        <f>HYPERLINK("https://twitter.com/ALCBDS_Asociaci","@ALCBDS_Asociaci")</f>
        <v>@ALCBDS_Asociaci</v>
      </c>
      <c r="C926" s="8" t="s">
        <v>5620</v>
      </c>
      <c r="D926" s="9" t="s">
        <v>5621</v>
      </c>
      <c r="E926" s="10" t="str">
        <f>HYPERLINK("https://twitter.com/ALCBDS_Asociaci/status/1065587309616209920","1065587309616209920")</f>
        <v>1065587309616209920</v>
      </c>
      <c r="F926" s="11"/>
      <c r="G926" s="14" t="s">
        <v>5622</v>
      </c>
      <c r="H926" s="11"/>
      <c r="I926" s="12">
        <v>0</v>
      </c>
      <c r="J926" s="12">
        <v>0</v>
      </c>
      <c r="K926" s="13" t="str">
        <f t="shared" ref="K926:K927" si="191">HYPERLINK("http://twitter.com","Twitter Web Client")</f>
        <v>Twitter Web Client</v>
      </c>
      <c r="L926" s="12">
        <v>1205</v>
      </c>
      <c r="M926" s="12">
        <v>501</v>
      </c>
      <c r="N926" s="12">
        <v>32</v>
      </c>
      <c r="O926" s="15"/>
      <c r="P926" s="6">
        <v>41367.186932870369</v>
      </c>
      <c r="Q926" s="16" t="s">
        <v>4819</v>
      </c>
      <c r="R926" s="17" t="s">
        <v>5623</v>
      </c>
      <c r="S926" s="14" t="s">
        <v>5624</v>
      </c>
      <c r="T926" s="11"/>
      <c r="U926" s="10" t="str">
        <f>HYPERLINK("https://pbs.twimg.com/profile_images/800651089620205568/5jXgLcuF.jpg","View")</f>
        <v>View</v>
      </c>
    </row>
    <row r="927" spans="1:21" ht="61.2">
      <c r="A927" s="6">
        <v>43426.198437500003</v>
      </c>
      <c r="B927" s="7" t="str">
        <f>HYPERLINK("https://twitter.com/EDUARDOLEOPOL17","@EDUARDOLEOPOL17")</f>
        <v>@EDUARDOLEOPOL17</v>
      </c>
      <c r="C927" s="8" t="s">
        <v>2152</v>
      </c>
      <c r="D927" s="9" t="s">
        <v>2173</v>
      </c>
      <c r="E927" s="10" t="str">
        <f>HYPERLINK("https://twitter.com/EDUARDOLEOPOL17/status/1065587135468707840","1065587135468707840")</f>
        <v>1065587135468707840</v>
      </c>
      <c r="F927" s="14" t="s">
        <v>2154</v>
      </c>
      <c r="G927" s="11"/>
      <c r="H927" s="11"/>
      <c r="I927" s="12">
        <v>0</v>
      </c>
      <c r="J927" s="12">
        <v>0</v>
      </c>
      <c r="K927" s="13" t="str">
        <f t="shared" si="191"/>
        <v>Twitter Web Client</v>
      </c>
      <c r="L927" s="12">
        <v>346</v>
      </c>
      <c r="M927" s="12">
        <v>348</v>
      </c>
      <c r="N927" s="12">
        <v>2</v>
      </c>
      <c r="O927" s="15"/>
      <c r="P927" s="6">
        <v>43287.722662037035</v>
      </c>
      <c r="Q927" s="16" t="s">
        <v>27</v>
      </c>
      <c r="R927" s="19"/>
      <c r="S927" s="11"/>
      <c r="T927" s="11"/>
      <c r="U927" s="10" t="str">
        <f>HYPERLINK("https://pbs.twimg.com/profile_images/1034197770616352768/aEVoRqKT.jpg","View")</f>
        <v>View</v>
      </c>
    </row>
    <row r="928" spans="1:21" ht="40.799999999999997">
      <c r="A928" s="6">
        <v>43426.197430555556</v>
      </c>
      <c r="B928" s="7" t="str">
        <f>HYPERLINK("https://twitter.com/JGFrontelo1","@JGFrontelo1")</f>
        <v>@JGFrontelo1</v>
      </c>
      <c r="C928" s="8" t="s">
        <v>5625</v>
      </c>
      <c r="D928" s="9" t="s">
        <v>5626</v>
      </c>
      <c r="E928" s="10" t="str">
        <f>HYPERLINK("https://twitter.com/JGFrontelo1/status/1065586770954383360","1065586770954383360")</f>
        <v>1065586770954383360</v>
      </c>
      <c r="F928" s="14" t="s">
        <v>96</v>
      </c>
      <c r="G928" s="11"/>
      <c r="H928" s="11"/>
      <c r="I928" s="12">
        <v>1</v>
      </c>
      <c r="J928" s="12">
        <v>1</v>
      </c>
      <c r="K928" s="13" t="str">
        <f>HYPERLINK("http://twitter.com/download/android","Twitter for Android")</f>
        <v>Twitter for Android</v>
      </c>
      <c r="L928" s="12">
        <v>2222</v>
      </c>
      <c r="M928" s="12">
        <v>2898</v>
      </c>
      <c r="N928" s="12">
        <v>16</v>
      </c>
      <c r="O928" s="15"/>
      <c r="P928" s="6">
        <v>42583.953368055554</v>
      </c>
      <c r="Q928" s="11"/>
      <c r="R928" s="17" t="s">
        <v>5627</v>
      </c>
      <c r="S928" s="11"/>
      <c r="T928" s="11"/>
      <c r="U928" s="10" t="str">
        <f>HYPERLINK("https://pbs.twimg.com/profile_images/1063156674171752448/USHRkNAF.jpg","View")</f>
        <v>View</v>
      </c>
    </row>
    <row r="929" spans="1:21" ht="30.6">
      <c r="A929" s="6">
        <v>43426.195659722223</v>
      </c>
      <c r="B929" s="7" t="str">
        <f>HYPERLINK("https://twitter.com/Vespertina1","@Vespertina1")</f>
        <v>@Vespertina1</v>
      </c>
      <c r="C929" s="8" t="s">
        <v>5628</v>
      </c>
      <c r="D929" s="9" t="s">
        <v>768</v>
      </c>
      <c r="E929" s="10" t="str">
        <f>HYPERLINK("https://twitter.com/Vespertina1/status/1065586127669813248","1065586127669813248")</f>
        <v>1065586127669813248</v>
      </c>
      <c r="F929" s="14" t="s">
        <v>529</v>
      </c>
      <c r="G929" s="11"/>
      <c r="H929" s="11"/>
      <c r="I929" s="12">
        <v>1</v>
      </c>
      <c r="J929" s="12">
        <v>0</v>
      </c>
      <c r="K929" s="13" t="str">
        <f>HYPERLINK("http://twitter.com","Twitter Web Client")</f>
        <v>Twitter Web Client</v>
      </c>
      <c r="L929" s="12">
        <v>4095</v>
      </c>
      <c r="M929" s="12">
        <v>3378</v>
      </c>
      <c r="N929" s="12">
        <v>50</v>
      </c>
      <c r="O929" s="15"/>
      <c r="P929" s="6">
        <v>40970.412766203706</v>
      </c>
      <c r="Q929" s="16" t="s">
        <v>38</v>
      </c>
      <c r="R929" s="17" t="s">
        <v>5629</v>
      </c>
      <c r="S929" s="11"/>
      <c r="T929" s="11"/>
      <c r="U929" s="10" t="str">
        <f>HYPERLINK("https://pbs.twimg.com/profile_images/942757067290566657/aGMtO_C0.jpg","View")</f>
        <v>View</v>
      </c>
    </row>
    <row r="930" spans="1:21" ht="51">
      <c r="A930" s="6">
        <v>43426.19532407407</v>
      </c>
      <c r="B930" s="7" t="str">
        <f>HYPERLINK("https://twitter.com/canete707","@canete707")</f>
        <v>@canete707</v>
      </c>
      <c r="C930" s="8" t="s">
        <v>5448</v>
      </c>
      <c r="D930" s="9" t="s">
        <v>5630</v>
      </c>
      <c r="E930" s="10" t="str">
        <f>HYPERLINK("https://twitter.com/canete707/status/1065586009298096128","1065586009298096128")</f>
        <v>1065586009298096128</v>
      </c>
      <c r="F930" s="11"/>
      <c r="G930" s="11"/>
      <c r="H930" s="11"/>
      <c r="I930" s="12">
        <v>5</v>
      </c>
      <c r="J930" s="12">
        <v>15</v>
      </c>
      <c r="K930" s="13" t="str">
        <f t="shared" ref="K930:K933" si="192">HYPERLINK("http://twitter.com/download/android","Twitter for Android")</f>
        <v>Twitter for Android</v>
      </c>
      <c r="L930" s="12">
        <v>6044</v>
      </c>
      <c r="M930" s="12">
        <v>908</v>
      </c>
      <c r="N930" s="12">
        <v>74</v>
      </c>
      <c r="O930" s="15"/>
      <c r="P930" s="6">
        <v>41322.109699074077</v>
      </c>
      <c r="Q930" s="16" t="s">
        <v>5453</v>
      </c>
      <c r="R930" s="17" t="s">
        <v>5454</v>
      </c>
      <c r="S930" s="11"/>
      <c r="T930" s="11"/>
      <c r="U930" s="10" t="str">
        <f>HYPERLINK("https://pbs.twimg.com/profile_images/1025044213396893696/dnCLU8X_.jpg","View")</f>
        <v>View</v>
      </c>
    </row>
    <row r="931" spans="1:21" ht="40.799999999999997">
      <c r="A931" s="6">
        <v>43426.194513888884</v>
      </c>
      <c r="B931" s="7" t="str">
        <f>HYPERLINK("https://twitter.com/Don_Erreqerre","@Don_Erreqerre")</f>
        <v>@Don_Erreqerre</v>
      </c>
      <c r="C931" s="8" t="s">
        <v>2799</v>
      </c>
      <c r="D931" s="9" t="s">
        <v>5631</v>
      </c>
      <c r="E931" s="10" t="str">
        <f>HYPERLINK("https://twitter.com/Don_Erreqerre/status/1065585715168325639","1065585715168325639")</f>
        <v>1065585715168325639</v>
      </c>
      <c r="F931" s="11"/>
      <c r="G931" s="14" t="s">
        <v>5632</v>
      </c>
      <c r="H931" s="11"/>
      <c r="I931" s="12">
        <v>8</v>
      </c>
      <c r="J931" s="12">
        <v>13</v>
      </c>
      <c r="K931" s="13" t="str">
        <f t="shared" si="192"/>
        <v>Twitter for Android</v>
      </c>
      <c r="L931" s="12">
        <v>1336</v>
      </c>
      <c r="M931" s="12">
        <v>1918</v>
      </c>
      <c r="N931" s="12">
        <v>17</v>
      </c>
      <c r="O931" s="15"/>
      <c r="P931" s="6">
        <v>42583.258506944447</v>
      </c>
      <c r="Q931" s="11"/>
      <c r="R931" s="17" t="s">
        <v>2802</v>
      </c>
      <c r="S931" s="11"/>
      <c r="T931" s="11"/>
      <c r="U931" s="10" t="str">
        <f>HYPERLINK("https://pbs.twimg.com/profile_images/922104917715832832/tKwzmJac.jpg","View")</f>
        <v>View</v>
      </c>
    </row>
    <row r="932" spans="1:21" ht="51">
      <c r="A932" s="6">
        <v>43426.194247685184</v>
      </c>
      <c r="B932" s="7" t="str">
        <f>HYPERLINK("https://twitter.com/jcaballerosoler","@jcaballerosoler")</f>
        <v>@jcaballerosoler</v>
      </c>
      <c r="C932" s="8" t="s">
        <v>5634</v>
      </c>
      <c r="D932" s="9" t="s">
        <v>5635</v>
      </c>
      <c r="E932" s="10" t="str">
        <f>HYPERLINK("https://twitter.com/jcaballerosoler/status/1065585615499132928","1065585615499132928")</f>
        <v>1065585615499132928</v>
      </c>
      <c r="F932" s="11"/>
      <c r="G932" s="11"/>
      <c r="H932" s="11"/>
      <c r="I932" s="12">
        <v>1</v>
      </c>
      <c r="J932" s="12">
        <v>2</v>
      </c>
      <c r="K932" s="13" t="str">
        <f t="shared" si="192"/>
        <v>Twitter for Android</v>
      </c>
      <c r="L932" s="12">
        <v>2242</v>
      </c>
      <c r="M932" s="12">
        <v>1360</v>
      </c>
      <c r="N932" s="12">
        <v>55</v>
      </c>
      <c r="O932" s="15"/>
      <c r="P932" s="6">
        <v>40929.170497685183</v>
      </c>
      <c r="Q932" s="16" t="s">
        <v>5636</v>
      </c>
      <c r="R932" s="17" t="s">
        <v>5637</v>
      </c>
      <c r="S932" s="11"/>
      <c r="T932" s="11"/>
      <c r="U932" s="10" t="str">
        <f>HYPERLINK("https://pbs.twimg.com/profile_images/1059312038369992705/uv5gWkZq.jpg","View")</f>
        <v>View</v>
      </c>
    </row>
    <row r="933" spans="1:21" ht="40.799999999999997">
      <c r="A933" s="6">
        <v>43426.193912037037</v>
      </c>
      <c r="B933" s="7" t="str">
        <f>HYPERLINK("https://twitter.com/rscabanillas","@rscabanillas")</f>
        <v>@rscabanillas</v>
      </c>
      <c r="C933" s="8" t="s">
        <v>5638</v>
      </c>
      <c r="D933" s="9" t="s">
        <v>5639</v>
      </c>
      <c r="E933" s="10" t="str">
        <f>HYPERLINK("https://twitter.com/rscabanillas/status/1065585494791196673","1065585494791196673")</f>
        <v>1065585494791196673</v>
      </c>
      <c r="F933" s="11"/>
      <c r="G933" s="11"/>
      <c r="H933" s="11"/>
      <c r="I933" s="12">
        <v>0</v>
      </c>
      <c r="J933" s="12">
        <v>0</v>
      </c>
      <c r="K933" s="13" t="str">
        <f t="shared" si="192"/>
        <v>Twitter for Android</v>
      </c>
      <c r="L933" s="12">
        <v>235</v>
      </c>
      <c r="M933" s="12">
        <v>648</v>
      </c>
      <c r="N933" s="12">
        <v>8</v>
      </c>
      <c r="O933" s="15"/>
      <c r="P933" s="6">
        <v>40281.528067129628</v>
      </c>
      <c r="Q933" s="16" t="s">
        <v>5640</v>
      </c>
      <c r="R933" s="17" t="s">
        <v>5641</v>
      </c>
      <c r="S933" s="11"/>
      <c r="T933" s="11"/>
      <c r="U933" s="10" t="str">
        <f>HYPERLINK("https://pbs.twimg.com/profile_images/2466541336/b20z9vh4c994siwzfxv8.jpeg","View")</f>
        <v>View</v>
      </c>
    </row>
    <row r="934" spans="1:21" ht="102">
      <c r="A934" s="6">
        <v>43426.193645833337</v>
      </c>
      <c r="B934" s="7" t="str">
        <f>HYPERLINK("https://twitter.com/mcarmensoriano","@mcarmensoriano")</f>
        <v>@mcarmensoriano</v>
      </c>
      <c r="C934" s="8" t="s">
        <v>2174</v>
      </c>
      <c r="D934" s="9" t="s">
        <v>2175</v>
      </c>
      <c r="E934" s="10" t="str">
        <f>HYPERLINK("https://twitter.com/mcarmensoriano/status/1065585399182094337","1065585399182094337")</f>
        <v>1065585399182094337</v>
      </c>
      <c r="F934" s="14" t="s">
        <v>2176</v>
      </c>
      <c r="G934" s="11"/>
      <c r="H934" s="11"/>
      <c r="I934" s="12">
        <v>9</v>
      </c>
      <c r="J934" s="12">
        <v>11</v>
      </c>
      <c r="K934" s="13" t="str">
        <f>HYPERLINK("http://twitter.com/download/iphone","Twitter for iPhone")</f>
        <v>Twitter for iPhone</v>
      </c>
      <c r="L934" s="12">
        <v>1439</v>
      </c>
      <c r="M934" s="12">
        <v>1371</v>
      </c>
      <c r="N934" s="12">
        <v>15</v>
      </c>
      <c r="O934" s="15"/>
      <c r="P934" s="6">
        <v>40890.330254629633</v>
      </c>
      <c r="Q934" s="16" t="s">
        <v>2177</v>
      </c>
      <c r="R934" s="19"/>
      <c r="S934" s="11"/>
      <c r="T934" s="11"/>
      <c r="U934" s="10" t="str">
        <f>HYPERLINK("https://pbs.twimg.com/profile_images/957470354515070976/3d4CxR2N.jpg","View")</f>
        <v>View</v>
      </c>
    </row>
    <row r="935" spans="1:21" ht="40.799999999999997">
      <c r="A935" s="6">
        <v>43426.192708333328</v>
      </c>
      <c r="B935" s="7" t="str">
        <f>HYPERLINK("https://twitter.com/eugeniodelacruz","@eugeniodelacruz")</f>
        <v>@eugeniodelacruz</v>
      </c>
      <c r="C935" s="8" t="s">
        <v>5642</v>
      </c>
      <c r="D935" s="9" t="s">
        <v>5643</v>
      </c>
      <c r="E935" s="10" t="str">
        <f>HYPERLINK("https://twitter.com/eugeniodelacruz/status/1065585057929326593","1065585057929326593")</f>
        <v>1065585057929326593</v>
      </c>
      <c r="F935" s="14" t="s">
        <v>96</v>
      </c>
      <c r="G935" s="11"/>
      <c r="H935" s="11"/>
      <c r="I935" s="12">
        <v>0</v>
      </c>
      <c r="J935" s="12">
        <v>0</v>
      </c>
      <c r="K935" s="13" t="str">
        <f>HYPERLINK("http://www.facebook.com/twitter","Facebook")</f>
        <v>Facebook</v>
      </c>
      <c r="L935" s="12">
        <v>145</v>
      </c>
      <c r="M935" s="12">
        <v>225</v>
      </c>
      <c r="N935" s="12">
        <v>5</v>
      </c>
      <c r="O935" s="15"/>
      <c r="P935" s="6">
        <v>40228.041041666671</v>
      </c>
      <c r="Q935" s="16" t="s">
        <v>4323</v>
      </c>
      <c r="R935" s="17" t="s">
        <v>5644</v>
      </c>
      <c r="S935" s="14" t="s">
        <v>5645</v>
      </c>
      <c r="T935" s="11"/>
      <c r="U935" s="10" t="str">
        <f>HYPERLINK("https://pbs.twimg.com/profile_images/665917255675486208/ZYlNGz7c.jpg","View")</f>
        <v>View</v>
      </c>
    </row>
    <row r="936" spans="1:21" ht="40.799999999999997">
      <c r="A936" s="6">
        <v>43426.192546296297</v>
      </c>
      <c r="B936" s="7" t="str">
        <f>HYPERLINK("https://twitter.com/VecinosMaracay","@VecinosMaracay")</f>
        <v>@VecinosMaracay</v>
      </c>
      <c r="C936" s="8" t="s">
        <v>5646</v>
      </c>
      <c r="D936" s="9" t="s">
        <v>5505</v>
      </c>
      <c r="E936" s="10" t="str">
        <f>HYPERLINK("https://twitter.com/VecinosMaracay/status/1065585003038429185","1065585003038429185")</f>
        <v>1065585003038429185</v>
      </c>
      <c r="F936" s="14" t="s">
        <v>5507</v>
      </c>
      <c r="G936" s="11"/>
      <c r="H936" s="11"/>
      <c r="I936" s="12">
        <v>0</v>
      </c>
      <c r="J936" s="12">
        <v>0</v>
      </c>
      <c r="K936" s="13" t="str">
        <f>HYPERLINK("https://ifttt.com","IFTTT")</f>
        <v>IFTTT</v>
      </c>
      <c r="L936" s="12">
        <v>199</v>
      </c>
      <c r="M936" s="12">
        <v>184</v>
      </c>
      <c r="N936" s="12">
        <v>0</v>
      </c>
      <c r="O936" s="15"/>
      <c r="P936" s="6">
        <v>42904.379421296297</v>
      </c>
      <c r="Q936" s="16" t="s">
        <v>5647</v>
      </c>
      <c r="R936" s="17" t="s">
        <v>5648</v>
      </c>
      <c r="S936" s="11"/>
      <c r="T936" s="11"/>
      <c r="U936" s="10" t="str">
        <f>HYPERLINK("https://pbs.twimg.com/profile_images/876490894387621888/UhudJGM_.jpg","View")</f>
        <v>View</v>
      </c>
    </row>
    <row r="937" spans="1:21" ht="40.799999999999997">
      <c r="A937" s="6">
        <v>43426.19222222222</v>
      </c>
      <c r="B937" s="7" t="str">
        <f>HYPERLINK("https://twitter.com/TWildFree","@TWildFree")</f>
        <v>@TWildFree</v>
      </c>
      <c r="C937" s="8" t="s">
        <v>2679</v>
      </c>
      <c r="D937" s="9" t="s">
        <v>5649</v>
      </c>
      <c r="E937" s="10" t="str">
        <f>HYPERLINK("https://twitter.com/TWildFree/status/1065584881902735363","1065584881902735363")</f>
        <v>1065584881902735363</v>
      </c>
      <c r="F937" s="14" t="s">
        <v>96</v>
      </c>
      <c r="G937" s="11"/>
      <c r="H937" s="11"/>
      <c r="I937" s="12">
        <v>2</v>
      </c>
      <c r="J937" s="12">
        <v>2</v>
      </c>
      <c r="K937" s="13" t="str">
        <f>HYPERLINK("http://twitter.com/download/iphone","Twitter for iPhone")</f>
        <v>Twitter for iPhone</v>
      </c>
      <c r="L937" s="12">
        <v>3202</v>
      </c>
      <c r="M937" s="12">
        <v>2153</v>
      </c>
      <c r="N937" s="12">
        <v>87</v>
      </c>
      <c r="O937" s="15"/>
      <c r="P937" s="6">
        <v>40675.416099537033</v>
      </c>
      <c r="Q937" s="16" t="s">
        <v>38</v>
      </c>
      <c r="R937" s="17" t="s">
        <v>2684</v>
      </c>
      <c r="S937" s="11"/>
      <c r="T937" s="11"/>
      <c r="U937" s="10" t="str">
        <f>HYPERLINK("https://pbs.twimg.com/profile_images/957036860483784704/CBcXOFy_.jpg","View")</f>
        <v>View</v>
      </c>
    </row>
    <row r="938" spans="1:21" ht="51">
      <c r="A938" s="6">
        <v>43426.192199074074</v>
      </c>
      <c r="B938" s="7" t="str">
        <f>HYPERLINK("https://twitter.com/ancabocristiano","@ancabocristiano")</f>
        <v>@ancabocristiano</v>
      </c>
      <c r="C938" s="8" t="s">
        <v>5653</v>
      </c>
      <c r="D938" s="9" t="s">
        <v>5654</v>
      </c>
      <c r="E938" s="10" t="str">
        <f>HYPERLINK("https://twitter.com/ancabocristiano/status/1065584875447693312","1065584875447693312")</f>
        <v>1065584875447693312</v>
      </c>
      <c r="F938" s="14" t="s">
        <v>5655</v>
      </c>
      <c r="G938" s="11"/>
      <c r="H938" s="11"/>
      <c r="I938" s="12">
        <v>1</v>
      </c>
      <c r="J938" s="12">
        <v>0</v>
      </c>
      <c r="K938" s="13" t="str">
        <f t="shared" ref="K938:K939" si="193">HYPERLINK("http://twitter.com","Twitter Web Client")</f>
        <v>Twitter Web Client</v>
      </c>
      <c r="L938" s="12">
        <v>725</v>
      </c>
      <c r="M938" s="12">
        <v>1174</v>
      </c>
      <c r="N938" s="12">
        <v>17</v>
      </c>
      <c r="O938" s="15"/>
      <c r="P938" s="6">
        <v>40588.637638888889</v>
      </c>
      <c r="Q938" s="16" t="s">
        <v>5656</v>
      </c>
      <c r="R938" s="17" t="s">
        <v>5657</v>
      </c>
      <c r="S938" s="11"/>
      <c r="T938" s="11"/>
      <c r="U938" s="10" t="str">
        <f>HYPERLINK("https://pbs.twimg.com/profile_images/1498277119/Antonio_Twiter.JPG","View")</f>
        <v>View</v>
      </c>
    </row>
    <row r="939" spans="1:21" ht="20.399999999999999">
      <c r="A939" s="6">
        <v>43426.190798611111</v>
      </c>
      <c r="B939" s="7" t="str">
        <f>HYPERLINK("https://twitter.com/Informalia","@Informalia")</f>
        <v>@Informalia</v>
      </c>
      <c r="C939" s="8" t="s">
        <v>3131</v>
      </c>
      <c r="D939" s="9" t="s">
        <v>5658</v>
      </c>
      <c r="E939" s="10" t="str">
        <f>HYPERLINK("https://twitter.com/Informalia/status/1065584366468894721","1065584366468894721")</f>
        <v>1065584366468894721</v>
      </c>
      <c r="F939" s="14" t="s">
        <v>3134</v>
      </c>
      <c r="G939" s="11"/>
      <c r="H939" s="11"/>
      <c r="I939" s="12">
        <v>1</v>
      </c>
      <c r="J939" s="12">
        <v>0</v>
      </c>
      <c r="K939" s="13" t="str">
        <f t="shared" si="193"/>
        <v>Twitter Web Client</v>
      </c>
      <c r="L939" s="12">
        <v>2203</v>
      </c>
      <c r="M939" s="12">
        <v>282</v>
      </c>
      <c r="N939" s="12">
        <v>38</v>
      </c>
      <c r="O939" s="15"/>
      <c r="P939" s="6">
        <v>42145.061469907407</v>
      </c>
      <c r="Q939" s="11"/>
      <c r="R939" s="17" t="s">
        <v>3137</v>
      </c>
      <c r="S939" s="14" t="s">
        <v>3138</v>
      </c>
      <c r="T939" s="11"/>
      <c r="U939" s="10" t="str">
        <f>HYPERLINK("https://pbs.twimg.com/profile_images/1016364341761896449/Q_9VUOLv.jpg","View")</f>
        <v>View</v>
      </c>
    </row>
    <row r="940" spans="1:21" ht="61.2">
      <c r="A940" s="6">
        <v>43426.19059027778</v>
      </c>
      <c r="B940" s="7" t="str">
        <f>HYPERLINK("https://twitter.com/sarranchin","@sarranchin")</f>
        <v>@sarranchin</v>
      </c>
      <c r="C940" s="8" t="s">
        <v>5659</v>
      </c>
      <c r="D940" s="9" t="s">
        <v>5660</v>
      </c>
      <c r="E940" s="10" t="str">
        <f>HYPERLINK("https://twitter.com/sarranchin/status/1065584292229758977","1065584292229758977")</f>
        <v>1065584292229758977</v>
      </c>
      <c r="F940" s="16" t="s">
        <v>1742</v>
      </c>
      <c r="G940" s="14" t="s">
        <v>1431</v>
      </c>
      <c r="H940" s="11"/>
      <c r="I940" s="12">
        <v>0</v>
      </c>
      <c r="J940" s="12">
        <v>0</v>
      </c>
      <c r="K940" s="13" t="str">
        <f t="shared" ref="K940:K941" si="194">HYPERLINK("http://twitter.com/download/android","Twitter for Android")</f>
        <v>Twitter for Android</v>
      </c>
      <c r="L940" s="12">
        <v>2497</v>
      </c>
      <c r="M940" s="12">
        <v>4988</v>
      </c>
      <c r="N940" s="12">
        <v>17</v>
      </c>
      <c r="O940" s="15"/>
      <c r="P940" s="6">
        <v>40463.048460648148</v>
      </c>
      <c r="Q940" s="16" t="s">
        <v>5661</v>
      </c>
      <c r="R940" s="17" t="s">
        <v>5662</v>
      </c>
      <c r="S940" s="14" t="s">
        <v>5663</v>
      </c>
      <c r="T940" s="11"/>
      <c r="U940" s="10" t="str">
        <f>HYPERLINK("https://pbs.twimg.com/profile_images/1030791341540888576/IsG0zeeX.jpg","View")</f>
        <v>View</v>
      </c>
    </row>
    <row r="941" spans="1:21" ht="30.6">
      <c r="A941" s="6">
        <v>43426.19054398148</v>
      </c>
      <c r="B941" s="7" t="str">
        <f>HYPERLINK("https://twitter.com/delasherasmario","@delasherasmario")</f>
        <v>@delasherasmario</v>
      </c>
      <c r="C941" s="8" t="s">
        <v>5664</v>
      </c>
      <c r="D941" s="9" t="s">
        <v>5665</v>
      </c>
      <c r="E941" s="10" t="str">
        <f>HYPERLINK("https://twitter.com/delasherasmario/status/1065584276492697600","1065584276492697600")</f>
        <v>1065584276492697600</v>
      </c>
      <c r="F941" s="14" t="s">
        <v>529</v>
      </c>
      <c r="G941" s="11"/>
      <c r="H941" s="11"/>
      <c r="I941" s="12">
        <v>0</v>
      </c>
      <c r="J941" s="12">
        <v>0</v>
      </c>
      <c r="K941" s="13" t="str">
        <f t="shared" si="194"/>
        <v>Twitter for Android</v>
      </c>
      <c r="L941" s="12">
        <v>1288</v>
      </c>
      <c r="M941" s="12">
        <v>400</v>
      </c>
      <c r="N941" s="12">
        <v>37</v>
      </c>
      <c r="O941" s="15"/>
      <c r="P941" s="6">
        <v>41333.077592592592</v>
      </c>
      <c r="Q941" s="11"/>
      <c r="R941" s="17" t="s">
        <v>5666</v>
      </c>
      <c r="S941" s="11"/>
      <c r="T941" s="11"/>
      <c r="U941" s="10" t="str">
        <f>HYPERLINK("https://pbs.twimg.com/profile_images/842113756285005824/nFaZUW4x.jpg","View")</f>
        <v>View</v>
      </c>
    </row>
    <row r="942" spans="1:21" ht="51">
      <c r="A942" s="6">
        <v>43426.190509259264</v>
      </c>
      <c r="B942" s="7" t="str">
        <f>HYPERLINK("https://twitter.com/Josecalem","@Josecalem")</f>
        <v>@Josecalem</v>
      </c>
      <c r="C942" s="8" t="s">
        <v>5667</v>
      </c>
      <c r="D942" s="9" t="s">
        <v>5668</v>
      </c>
      <c r="E942" s="10" t="str">
        <f>HYPERLINK("https://twitter.com/Josecalem/status/1065584260814434304","1065584260814434304")</f>
        <v>1065584260814434304</v>
      </c>
      <c r="F942" s="11"/>
      <c r="G942" s="11"/>
      <c r="H942" s="11"/>
      <c r="I942" s="12">
        <v>0</v>
      </c>
      <c r="J942" s="12">
        <v>0</v>
      </c>
      <c r="K942" s="13" t="str">
        <f>HYPERLINK("https://mobile.twitter.com","Twitter Lite")</f>
        <v>Twitter Lite</v>
      </c>
      <c r="L942" s="12">
        <v>24</v>
      </c>
      <c r="M942" s="12">
        <v>76</v>
      </c>
      <c r="N942" s="12">
        <v>0</v>
      </c>
      <c r="O942" s="15"/>
      <c r="P942" s="6">
        <v>42647.374201388884</v>
      </c>
      <c r="Q942" s="16" t="s">
        <v>5669</v>
      </c>
      <c r="R942" s="19"/>
      <c r="S942" s="11"/>
      <c r="T942" s="11"/>
      <c r="U942" s="10" t="str">
        <f>HYPERLINK("https://pbs.twimg.com/profile_images/1059815753568923651/GUbjxzs7.jpg","View")</f>
        <v>View</v>
      </c>
    </row>
    <row r="943" spans="1:21" ht="20.399999999999999">
      <c r="A943" s="6">
        <v>43426.189675925925</v>
      </c>
      <c r="B943" s="7" t="str">
        <f>HYPERLINK("https://twitter.com/JavierOgando","@JavierOgando")</f>
        <v>@JavierOgando</v>
      </c>
      <c r="C943" s="8" t="s">
        <v>5670</v>
      </c>
      <c r="D943" s="9" t="s">
        <v>5671</v>
      </c>
      <c r="E943" s="10" t="str">
        <f>HYPERLINK("https://twitter.com/JavierOgando/status/1065583960309342208","1065583960309342208")</f>
        <v>1065583960309342208</v>
      </c>
      <c r="F943" s="14" t="s">
        <v>529</v>
      </c>
      <c r="G943" s="11"/>
      <c r="H943" s="11"/>
      <c r="I943" s="12">
        <v>0</v>
      </c>
      <c r="J943" s="12">
        <v>0</v>
      </c>
      <c r="K943" s="13" t="str">
        <f>HYPERLINK("http://twitter.com","Twitter Web Client")</f>
        <v>Twitter Web Client</v>
      </c>
      <c r="L943" s="12">
        <v>358</v>
      </c>
      <c r="M943" s="12">
        <v>356</v>
      </c>
      <c r="N943" s="12">
        <v>2</v>
      </c>
      <c r="O943" s="15"/>
      <c r="P943" s="6">
        <v>41012.200624999998</v>
      </c>
      <c r="Q943" s="16" t="s">
        <v>5672</v>
      </c>
      <c r="R943" s="17" t="s">
        <v>5673</v>
      </c>
      <c r="S943" s="14" t="s">
        <v>5674</v>
      </c>
      <c r="T943" s="11"/>
      <c r="U943" s="10" t="str">
        <f>HYPERLINK("https://pbs.twimg.com/profile_images/816297242642546688/ZPEJkIO3.jpg","View")</f>
        <v>View</v>
      </c>
    </row>
    <row r="944" spans="1:21" ht="20.399999999999999">
      <c r="A944" s="6">
        <v>43426.189293981486</v>
      </c>
      <c r="B944" s="7" t="str">
        <f>HYPERLINK("https://twitter.com/periodistadigit","@periodistadigit")</f>
        <v>@periodistadigit</v>
      </c>
      <c r="C944" s="8" t="s">
        <v>2016</v>
      </c>
      <c r="D944" s="9" t="s">
        <v>5675</v>
      </c>
      <c r="E944" s="10" t="str">
        <f>HYPERLINK("https://twitter.com/periodistadigit/status/1065583824434855936","1065583824434855936")</f>
        <v>1065583824434855936</v>
      </c>
      <c r="F944" s="14" t="s">
        <v>2481</v>
      </c>
      <c r="G944" s="11"/>
      <c r="H944" s="11"/>
      <c r="I944" s="12">
        <v>4</v>
      </c>
      <c r="J944" s="12">
        <v>5</v>
      </c>
      <c r="K944" s="13" t="str">
        <f t="shared" ref="K944:K945" si="195">HYPERLINK("https://about.twitter.com/products/tweetdeck","TweetDeck")</f>
        <v>TweetDeck</v>
      </c>
      <c r="L944" s="12">
        <v>56097</v>
      </c>
      <c r="M944" s="12">
        <v>3791</v>
      </c>
      <c r="N944" s="12">
        <v>1469</v>
      </c>
      <c r="O944" s="18" t="s">
        <v>52</v>
      </c>
      <c r="P944" s="6">
        <v>40084.541296296295</v>
      </c>
      <c r="Q944" s="16" t="s">
        <v>38</v>
      </c>
      <c r="R944" s="17" t="s">
        <v>2023</v>
      </c>
      <c r="S944" s="14" t="s">
        <v>2024</v>
      </c>
      <c r="T944" s="11"/>
      <c r="U944" s="10" t="str">
        <f>HYPERLINK("https://pbs.twimg.com/profile_images/1913331873/periodista-digital.jpg","View")</f>
        <v>View</v>
      </c>
    </row>
    <row r="945" spans="1:21" ht="13.2">
      <c r="A945" s="6">
        <v>43426.189236111109</v>
      </c>
      <c r="B945" s="7" t="str">
        <f>HYPERLINK("https://twitter.com/juanvelarde72","@juanvelarde72")</f>
        <v>@juanvelarde72</v>
      </c>
      <c r="C945" s="8" t="s">
        <v>2449</v>
      </c>
      <c r="D945" s="9" t="s">
        <v>5675</v>
      </c>
      <c r="E945" s="10" t="str">
        <f>HYPERLINK("https://twitter.com/juanvelarde72/status/1065583799633874945","1065583799633874945")</f>
        <v>1065583799633874945</v>
      </c>
      <c r="F945" s="14" t="s">
        <v>2481</v>
      </c>
      <c r="G945" s="11"/>
      <c r="H945" s="11"/>
      <c r="I945" s="12">
        <v>0</v>
      </c>
      <c r="J945" s="12">
        <v>0</v>
      </c>
      <c r="K945" s="13" t="str">
        <f t="shared" si="195"/>
        <v>TweetDeck</v>
      </c>
      <c r="L945" s="12">
        <v>1615</v>
      </c>
      <c r="M945" s="12">
        <v>1578</v>
      </c>
      <c r="N945" s="12">
        <v>22</v>
      </c>
      <c r="O945" s="15"/>
      <c r="P945" s="6">
        <v>42289.58222222222</v>
      </c>
      <c r="Q945" s="16" t="s">
        <v>87</v>
      </c>
      <c r="R945" s="19"/>
      <c r="S945" s="14" t="s">
        <v>2451</v>
      </c>
      <c r="T945" s="11"/>
      <c r="U945" s="10" t="str">
        <f>HYPERLINK("https://pbs.twimg.com/profile_images/996096460885233664/fOo4zl1U.jpg","View")</f>
        <v>View</v>
      </c>
    </row>
    <row r="946" spans="1:21" ht="30.6">
      <c r="A946" s="6">
        <v>43426.188981481479</v>
      </c>
      <c r="B946" s="7" t="str">
        <f>HYPERLINK("https://twitter.com/RubenCuellar_97","@RubenCuellar_97")</f>
        <v>@RubenCuellar_97</v>
      </c>
      <c r="C946" s="8" t="s">
        <v>5676</v>
      </c>
      <c r="D946" s="9" t="s">
        <v>768</v>
      </c>
      <c r="E946" s="10" t="str">
        <f>HYPERLINK("https://twitter.com/RubenCuellar_97/status/1065583707413770240","1065583707413770240")</f>
        <v>1065583707413770240</v>
      </c>
      <c r="F946" s="14" t="s">
        <v>529</v>
      </c>
      <c r="G946" s="11"/>
      <c r="H946" s="11"/>
      <c r="I946" s="12">
        <v>0</v>
      </c>
      <c r="J946" s="12">
        <v>3</v>
      </c>
      <c r="K946" s="13" t="str">
        <f>HYPERLINK("http://twitter.com","Twitter Web Client")</f>
        <v>Twitter Web Client</v>
      </c>
      <c r="L946" s="12">
        <v>528</v>
      </c>
      <c r="M946" s="12">
        <v>535</v>
      </c>
      <c r="N946" s="12">
        <v>9</v>
      </c>
      <c r="O946" s="15"/>
      <c r="P946" s="6">
        <v>41047.628333333334</v>
      </c>
      <c r="Q946" s="16" t="s">
        <v>5677</v>
      </c>
      <c r="R946" s="17" t="s">
        <v>5678</v>
      </c>
      <c r="S946" s="11"/>
      <c r="T946" s="11"/>
      <c r="U946" s="10" t="str">
        <f>HYPERLINK("https://pbs.twimg.com/profile_images/843115109857873920/IkEG5FdQ.jpg","View")</f>
        <v>View</v>
      </c>
    </row>
    <row r="947" spans="1:21" ht="81.599999999999994">
      <c r="A947" s="6">
        <v>43426.187268518523</v>
      </c>
      <c r="B947" s="7" t="str">
        <f>HYPERLINK("https://twitter.com/EsMaimona","@EsMaimona")</f>
        <v>@EsMaimona</v>
      </c>
      <c r="C947" s="8" t="s">
        <v>2178</v>
      </c>
      <c r="D947" s="9" t="s">
        <v>2179</v>
      </c>
      <c r="E947" s="10" t="str">
        <f>HYPERLINK("https://twitter.com/EsMaimona/status/1065583088980434944","1065583088980434944")</f>
        <v>1065583088980434944</v>
      </c>
      <c r="F947" s="14" t="s">
        <v>2182</v>
      </c>
      <c r="G947" s="11"/>
      <c r="H947" s="11"/>
      <c r="I947" s="12">
        <v>0</v>
      </c>
      <c r="J947" s="12">
        <v>0</v>
      </c>
      <c r="K947" s="13" t="str">
        <f t="shared" ref="K947:K949" si="196">HYPERLINK("http://twitter.com/download/android","Twitter for Android")</f>
        <v>Twitter for Android</v>
      </c>
      <c r="L947" s="12">
        <v>80</v>
      </c>
      <c r="M947" s="12">
        <v>551</v>
      </c>
      <c r="N947" s="12">
        <v>4</v>
      </c>
      <c r="O947" s="15"/>
      <c r="P947" s="6">
        <v>43405.172986111109</v>
      </c>
      <c r="Q947" s="11"/>
      <c r="R947" s="17" t="s">
        <v>2183</v>
      </c>
      <c r="S947" s="11"/>
      <c r="T947" s="11"/>
      <c r="U947" s="10" t="str">
        <f>HYPERLINK("https://pbs.twimg.com/profile_images/1057955020501630976/fvuF7e1s.jpg","View")</f>
        <v>View</v>
      </c>
    </row>
    <row r="948" spans="1:21" ht="51">
      <c r="A948" s="6">
        <v>43426.186099537037</v>
      </c>
      <c r="B948" s="7" t="str">
        <f>HYPERLINK("https://twitter.com/pnubiola","@pnubiola")</f>
        <v>@pnubiola</v>
      </c>
      <c r="C948" s="8" t="s">
        <v>2184</v>
      </c>
      <c r="D948" s="9" t="s">
        <v>2185</v>
      </c>
      <c r="E948" s="10" t="str">
        <f>HYPERLINK("https://twitter.com/pnubiola/status/1065582666593067009","1065582666593067009")</f>
        <v>1065582666593067009</v>
      </c>
      <c r="F948" s="14" t="s">
        <v>2187</v>
      </c>
      <c r="G948" s="11"/>
      <c r="H948" s="11"/>
      <c r="I948" s="12">
        <v>0</v>
      </c>
      <c r="J948" s="12">
        <v>0</v>
      </c>
      <c r="K948" s="13" t="str">
        <f t="shared" si="196"/>
        <v>Twitter for Android</v>
      </c>
      <c r="L948" s="12">
        <v>154</v>
      </c>
      <c r="M948" s="12">
        <v>30</v>
      </c>
      <c r="N948" s="12">
        <v>3</v>
      </c>
      <c r="O948" s="15"/>
      <c r="P948" s="6">
        <v>41888.147662037038</v>
      </c>
      <c r="Q948" s="11"/>
      <c r="R948" s="19"/>
      <c r="S948" s="11"/>
      <c r="T948" s="11"/>
      <c r="U948" s="10" t="str">
        <f>HYPERLINK("https://pbs.twimg.com/profile_images/1043786207220699136/CBJltGwD.jpg","View")</f>
        <v>View</v>
      </c>
    </row>
    <row r="949" spans="1:21" ht="30.6">
      <c r="A949" s="6">
        <v>43426.186018518521</v>
      </c>
      <c r="B949" s="7" t="str">
        <f>HYPERLINK("https://twitter.com/HiroLightx","@HiroLightx")</f>
        <v>@HiroLightx</v>
      </c>
      <c r="C949" s="8" t="s">
        <v>5681</v>
      </c>
      <c r="D949" s="9" t="s">
        <v>3304</v>
      </c>
      <c r="E949" s="10" t="str">
        <f>HYPERLINK("https://twitter.com/HiroLightx/status/1065582637362798592","1065582637362798592")</f>
        <v>1065582637362798592</v>
      </c>
      <c r="F949" s="11"/>
      <c r="G949" s="11"/>
      <c r="H949" s="11"/>
      <c r="I949" s="12">
        <v>0</v>
      </c>
      <c r="J949" s="12">
        <v>5</v>
      </c>
      <c r="K949" s="13" t="str">
        <f t="shared" si="196"/>
        <v>Twitter for Android</v>
      </c>
      <c r="L949" s="12">
        <v>637</v>
      </c>
      <c r="M949" s="12">
        <v>324</v>
      </c>
      <c r="N949" s="12">
        <v>0</v>
      </c>
      <c r="O949" s="15"/>
      <c r="P949" s="6">
        <v>42052.455567129626</v>
      </c>
      <c r="Q949" s="16" t="s">
        <v>5682</v>
      </c>
      <c r="R949" s="17" t="s">
        <v>5683</v>
      </c>
      <c r="S949" s="14" t="s">
        <v>5684</v>
      </c>
      <c r="T949" s="11"/>
      <c r="U949" s="10" t="str">
        <f>HYPERLINK("https://pbs.twimg.com/profile_images/1063055484259876864/HnNNNeh8.jpg","View")</f>
        <v>View</v>
      </c>
    </row>
    <row r="950" spans="1:21" ht="71.400000000000006">
      <c r="A950" s="6">
        <v>43426.18545138889</v>
      </c>
      <c r="B950" s="7" t="str">
        <f>HYPERLINK("https://twitter.com/drizzt__dourden","@drizzt__dourden")</f>
        <v>@drizzt__dourden</v>
      </c>
      <c r="C950" s="8" t="s">
        <v>5685</v>
      </c>
      <c r="D950" s="9" t="s">
        <v>5686</v>
      </c>
      <c r="E950" s="10" t="str">
        <f>HYPERLINK("https://twitter.com/drizzt__dourden/status/1065582427807129601","1065582427807129601")</f>
        <v>1065582427807129601</v>
      </c>
      <c r="F950" s="16" t="s">
        <v>1742</v>
      </c>
      <c r="G950" s="14" t="s">
        <v>1431</v>
      </c>
      <c r="H950" s="11"/>
      <c r="I950" s="12">
        <v>0</v>
      </c>
      <c r="J950" s="12">
        <v>0</v>
      </c>
      <c r="K950" s="13" t="str">
        <f>HYPERLINK("https://tapbots.com/software/tweetbot/mac","Tweetbot for Mac")</f>
        <v>Tweetbot for Mac</v>
      </c>
      <c r="L950" s="12">
        <v>929</v>
      </c>
      <c r="M950" s="12">
        <v>664</v>
      </c>
      <c r="N950" s="12">
        <v>165</v>
      </c>
      <c r="O950" s="15"/>
      <c r="P950" s="6">
        <v>40065.479004629626</v>
      </c>
      <c r="Q950" s="16" t="s">
        <v>5687</v>
      </c>
      <c r="R950" s="17" t="s">
        <v>5688</v>
      </c>
      <c r="S950" s="14" t="s">
        <v>5689</v>
      </c>
      <c r="T950" s="11"/>
      <c r="U950" s="10" t="str">
        <f>HYPERLINK("https://pbs.twimg.com/profile_images/417063929/250px-DrizztOmnibus.JPG.jpg","View")</f>
        <v>View</v>
      </c>
    </row>
    <row r="951" spans="1:21" ht="71.400000000000006">
      <c r="A951" s="6">
        <v>43426.185011574074</v>
      </c>
      <c r="B951" s="7" t="str">
        <f>HYPERLINK("https://twitter.com/EsMaimona","@EsMaimona")</f>
        <v>@EsMaimona</v>
      </c>
      <c r="C951" s="8" t="s">
        <v>2178</v>
      </c>
      <c r="D951" s="9" t="s">
        <v>2192</v>
      </c>
      <c r="E951" s="10" t="str">
        <f>HYPERLINK("https://twitter.com/EsMaimona/status/1065582270701015041","1065582270701015041")</f>
        <v>1065582270701015041</v>
      </c>
      <c r="F951" s="16" t="s">
        <v>2193</v>
      </c>
      <c r="G951" s="11"/>
      <c r="H951" s="11"/>
      <c r="I951" s="12">
        <v>0</v>
      </c>
      <c r="J951" s="12">
        <v>0</v>
      </c>
      <c r="K951" s="13" t="str">
        <f>HYPERLINK("http://twitter.com/download/android","Twitter for Android")</f>
        <v>Twitter for Android</v>
      </c>
      <c r="L951" s="12">
        <v>80</v>
      </c>
      <c r="M951" s="12">
        <v>551</v>
      </c>
      <c r="N951" s="12">
        <v>4</v>
      </c>
      <c r="O951" s="15"/>
      <c r="P951" s="6">
        <v>43405.172986111109</v>
      </c>
      <c r="Q951" s="11"/>
      <c r="R951" s="17" t="s">
        <v>2183</v>
      </c>
      <c r="S951" s="11"/>
      <c r="T951" s="11"/>
      <c r="U951" s="10" t="str">
        <f>HYPERLINK("https://pbs.twimg.com/profile_images/1057955020501630976/fvuF7e1s.jpg","View")</f>
        <v>View</v>
      </c>
    </row>
    <row r="952" spans="1:21" ht="30.6">
      <c r="A952" s="6">
        <v>43426.184479166666</v>
      </c>
      <c r="B952" s="7" t="str">
        <f>HYPERLINK("https://twitter.com/RadarGuarico","@RadarGuarico")</f>
        <v>@RadarGuarico</v>
      </c>
      <c r="C952" s="8" t="s">
        <v>665</v>
      </c>
      <c r="D952" s="9" t="s">
        <v>5505</v>
      </c>
      <c r="E952" s="10" t="str">
        <f>HYPERLINK("https://twitter.com/RadarGuarico/status/1065582075514892291","1065582075514892291")</f>
        <v>1065582075514892291</v>
      </c>
      <c r="F952" s="14" t="s">
        <v>5507</v>
      </c>
      <c r="G952" s="11"/>
      <c r="H952" s="11"/>
      <c r="I952" s="12">
        <v>0</v>
      </c>
      <c r="J952" s="12">
        <v>0</v>
      </c>
      <c r="K952" s="13" t="str">
        <f>HYPERLINK("https://ifttt.com","IFTTT")</f>
        <v>IFTTT</v>
      </c>
      <c r="L952" s="12">
        <v>92</v>
      </c>
      <c r="M952" s="12">
        <v>120</v>
      </c>
      <c r="N952" s="12">
        <v>0</v>
      </c>
      <c r="O952" s="15"/>
      <c r="P952" s="6">
        <v>42813.820509259254</v>
      </c>
      <c r="Q952" s="16" t="s">
        <v>668</v>
      </c>
      <c r="R952" s="17" t="s">
        <v>669</v>
      </c>
      <c r="S952" s="11"/>
      <c r="T952" s="11"/>
      <c r="U952" s="10" t="str">
        <f>HYPERLINK("https://pbs.twimg.com/profile_images/1033905986203996160/OlBJMQsg.jpg","View")</f>
        <v>View</v>
      </c>
    </row>
    <row r="953" spans="1:21" ht="20.399999999999999">
      <c r="A953" s="6">
        <v>43426.18378472222</v>
      </c>
      <c r="B953" s="7" t="str">
        <f>HYPERLINK("https://twitter.com/PatoAKD86","@PatoAKD86")</f>
        <v>@PatoAKD86</v>
      </c>
      <c r="C953" s="8" t="s">
        <v>5690</v>
      </c>
      <c r="D953" s="9" t="s">
        <v>5691</v>
      </c>
      <c r="E953" s="10" t="str">
        <f>HYPERLINK("https://twitter.com/PatoAKD86/status/1065581824397725696","1065581824397725696")</f>
        <v>1065581824397725696</v>
      </c>
      <c r="F953" s="14" t="s">
        <v>5692</v>
      </c>
      <c r="G953" s="11"/>
      <c r="H953" s="11"/>
      <c r="I953" s="12">
        <v>0</v>
      </c>
      <c r="J953" s="12">
        <v>0</v>
      </c>
      <c r="K953" s="13" t="str">
        <f>HYPERLINK("http://twitter.com/download/android","Twitter for Android")</f>
        <v>Twitter for Android</v>
      </c>
      <c r="L953" s="12">
        <v>260</v>
      </c>
      <c r="M953" s="12">
        <v>402</v>
      </c>
      <c r="N953" s="12">
        <v>4</v>
      </c>
      <c r="O953" s="15"/>
      <c r="P953" s="6">
        <v>41267.968425925923</v>
      </c>
      <c r="Q953" s="16" t="s">
        <v>5693</v>
      </c>
      <c r="R953" s="17" t="s">
        <v>5694</v>
      </c>
      <c r="S953" s="11"/>
      <c r="T953" s="11"/>
      <c r="U953" s="10" t="str">
        <f>HYPERLINK("https://pbs.twimg.com/profile_images/378800000147332495/dc59f14979b73cf6237d86e04fdde4b9.jpeg","View")</f>
        <v>View</v>
      </c>
    </row>
    <row r="954" spans="1:21" ht="30.6">
      <c r="A954" s="6">
        <v>43426.18372685185</v>
      </c>
      <c r="B954" s="7" t="str">
        <f>HYPERLINK("https://twitter.com/_DanielDG_","@_DanielDG_")</f>
        <v>@_DanielDG_</v>
      </c>
      <c r="C954" s="8" t="s">
        <v>5695</v>
      </c>
      <c r="D954" s="9" t="s">
        <v>5696</v>
      </c>
      <c r="E954" s="10" t="str">
        <f>HYPERLINK("https://twitter.com/_DanielDG_/status/1065581806274183168","1065581806274183168")</f>
        <v>1065581806274183168</v>
      </c>
      <c r="F954" s="11"/>
      <c r="G954" s="11"/>
      <c r="H954" s="11"/>
      <c r="I954" s="12">
        <v>0</v>
      </c>
      <c r="J954" s="12">
        <v>1</v>
      </c>
      <c r="K954" s="13" t="str">
        <f>HYPERLINK("http://twitter.com","Twitter Web Client")</f>
        <v>Twitter Web Client</v>
      </c>
      <c r="L954" s="12">
        <v>187</v>
      </c>
      <c r="M954" s="12">
        <v>196</v>
      </c>
      <c r="N954" s="12">
        <v>0</v>
      </c>
      <c r="O954" s="15"/>
      <c r="P954" s="6">
        <v>42370.041747685187</v>
      </c>
      <c r="Q954" s="16" t="s">
        <v>28</v>
      </c>
      <c r="R954" s="17" t="s">
        <v>5697</v>
      </c>
      <c r="S954" s="11"/>
      <c r="T954" s="11"/>
      <c r="U954" s="10" t="str">
        <f>HYPERLINK("https://pbs.twimg.com/profile_images/1062743168985321473/PLlpgbgn.jpg","View")</f>
        <v>View</v>
      </c>
    </row>
    <row r="955" spans="1:21" ht="40.799999999999997">
      <c r="A955" s="6">
        <v>43426.183530092589</v>
      </c>
      <c r="B955" s="7" t="str">
        <f>HYPERLINK("https://twitter.com/canete707","@canete707")</f>
        <v>@canete707</v>
      </c>
      <c r="C955" s="8" t="s">
        <v>5448</v>
      </c>
      <c r="D955" s="9" t="s">
        <v>5698</v>
      </c>
      <c r="E955" s="10" t="str">
        <f>HYPERLINK("https://twitter.com/canete707/status/1065581731682689024","1065581731682689024")</f>
        <v>1065581731682689024</v>
      </c>
      <c r="F955" s="11"/>
      <c r="G955" s="11"/>
      <c r="H955" s="11"/>
      <c r="I955" s="12">
        <v>4</v>
      </c>
      <c r="J955" s="12">
        <v>14</v>
      </c>
      <c r="K955" s="13" t="str">
        <f t="shared" ref="K955:K956" si="197">HYPERLINK("http://twitter.com/download/android","Twitter for Android")</f>
        <v>Twitter for Android</v>
      </c>
      <c r="L955" s="12">
        <v>6044</v>
      </c>
      <c r="M955" s="12">
        <v>908</v>
      </c>
      <c r="N955" s="12">
        <v>74</v>
      </c>
      <c r="O955" s="15"/>
      <c r="P955" s="6">
        <v>41322.109699074077</v>
      </c>
      <c r="Q955" s="16" t="s">
        <v>5453</v>
      </c>
      <c r="R955" s="17" t="s">
        <v>5454</v>
      </c>
      <c r="S955" s="11"/>
      <c r="T955" s="11"/>
      <c r="U955" s="10" t="str">
        <f>HYPERLINK("https://pbs.twimg.com/profile_images/1025044213396893696/dnCLU8X_.jpg","View")</f>
        <v>View</v>
      </c>
    </row>
    <row r="956" spans="1:21" ht="51">
      <c r="A956" s="6">
        <v>43426.18350694445</v>
      </c>
      <c r="B956" s="7" t="str">
        <f>HYPERLINK("https://twitter.com/MCordefer","@MCordefer")</f>
        <v>@MCordefer</v>
      </c>
      <c r="C956" s="8" t="s">
        <v>5699</v>
      </c>
      <c r="D956" s="9" t="s">
        <v>5700</v>
      </c>
      <c r="E956" s="10" t="str">
        <f>HYPERLINK("https://twitter.com/MCordefer/status/1065581724988522496","1065581724988522496")</f>
        <v>1065581724988522496</v>
      </c>
      <c r="F956" s="11"/>
      <c r="G956" s="11"/>
      <c r="H956" s="11"/>
      <c r="I956" s="12">
        <v>3</v>
      </c>
      <c r="J956" s="12">
        <v>6</v>
      </c>
      <c r="K956" s="13" t="str">
        <f t="shared" si="197"/>
        <v>Twitter for Android</v>
      </c>
      <c r="L956" s="12">
        <v>8579</v>
      </c>
      <c r="M956" s="12">
        <v>2042</v>
      </c>
      <c r="N956" s="12">
        <v>46</v>
      </c>
      <c r="O956" s="15"/>
      <c r="P956" s="6">
        <v>41003.293506944443</v>
      </c>
      <c r="Q956" s="16" t="s">
        <v>28</v>
      </c>
      <c r="R956" s="17" t="s">
        <v>5701</v>
      </c>
      <c r="S956" s="11"/>
      <c r="T956" s="11"/>
      <c r="U956" s="10" t="str">
        <f>HYPERLINK("https://pbs.twimg.com/profile_images/1049059725797675009/EQ8_TvBR.jpg","View")</f>
        <v>View</v>
      </c>
    </row>
    <row r="957" spans="1:21" ht="40.799999999999997">
      <c r="A957" s="6">
        <v>43426.183495370366</v>
      </c>
      <c r="B957" s="7" t="str">
        <f>HYPERLINK("https://twitter.com/eliath77924399","@eliath77924399")</f>
        <v>@eliath77924399</v>
      </c>
      <c r="C957" s="8" t="s">
        <v>2194</v>
      </c>
      <c r="D957" s="9" t="s">
        <v>2195</v>
      </c>
      <c r="E957" s="10" t="str">
        <f>HYPERLINK("https://twitter.com/eliath77924399/status/1065581720269922304","1065581720269922304")</f>
        <v>1065581720269922304</v>
      </c>
      <c r="F957" s="16" t="s">
        <v>2196</v>
      </c>
      <c r="G957" s="11"/>
      <c r="H957" s="11"/>
      <c r="I957" s="12">
        <v>1</v>
      </c>
      <c r="J957" s="12">
        <v>1</v>
      </c>
      <c r="K957" s="13" t="str">
        <f>HYPERLINK("http://twitter.com","Twitter Web Client")</f>
        <v>Twitter Web Client</v>
      </c>
      <c r="L957" s="12">
        <v>3078</v>
      </c>
      <c r="M957" s="12">
        <v>4942</v>
      </c>
      <c r="N957" s="12">
        <v>6</v>
      </c>
      <c r="O957" s="15"/>
      <c r="P957" s="6">
        <v>43017.091319444444</v>
      </c>
      <c r="Q957" s="16" t="s">
        <v>2198</v>
      </c>
      <c r="R957" s="17" t="s">
        <v>2199</v>
      </c>
      <c r="S957" s="11"/>
      <c r="T957" s="11"/>
      <c r="U957" s="10" t="str">
        <f>HYPERLINK("https://pbs.twimg.com/profile_images/1004765749926334464/qcK86ORp.jpg","View")</f>
        <v>View</v>
      </c>
    </row>
    <row r="958" spans="1:21" ht="40.799999999999997">
      <c r="A958" s="6">
        <v>43426.18304398148</v>
      </c>
      <c r="B958" s="7" t="str">
        <f>HYPERLINK("https://twitter.com/CAOZ77","@CAOZ77")</f>
        <v>@CAOZ77</v>
      </c>
      <c r="C958" s="8" t="s">
        <v>5702</v>
      </c>
      <c r="D958" s="9" t="s">
        <v>5703</v>
      </c>
      <c r="E958" s="10" t="str">
        <f>HYPERLINK("https://twitter.com/CAOZ77/status/1065581558067863553","1065581558067863553")</f>
        <v>1065581558067863553</v>
      </c>
      <c r="F958" s="11"/>
      <c r="G958" s="11"/>
      <c r="H958" s="11"/>
      <c r="I958" s="12">
        <v>0</v>
      </c>
      <c r="J958" s="12">
        <v>0</v>
      </c>
      <c r="K958" s="13" t="str">
        <f t="shared" ref="K958:K960" si="198">HYPERLINK("http://twitter.com/download/android","Twitter for Android")</f>
        <v>Twitter for Android</v>
      </c>
      <c r="L958" s="12">
        <v>528</v>
      </c>
      <c r="M958" s="12">
        <v>591</v>
      </c>
      <c r="N958" s="12">
        <v>8</v>
      </c>
      <c r="O958" s="15"/>
      <c r="P958" s="6">
        <v>40205.710046296299</v>
      </c>
      <c r="Q958" s="11"/>
      <c r="R958" s="19"/>
      <c r="S958" s="11"/>
      <c r="T958" s="11"/>
      <c r="U958" s="10" t="str">
        <f>HYPERLINK("https://pbs.twimg.com/profile_images/1047254372491710464/i-hhoqI5.jpg","View")</f>
        <v>View</v>
      </c>
    </row>
    <row r="959" spans="1:21" ht="51">
      <c r="A959" s="6">
        <v>43426.182824074072</v>
      </c>
      <c r="B959" s="7" t="str">
        <f>HYPERLINK("https://twitter.com/ppcsvox","@ppcsvox")</f>
        <v>@ppcsvox</v>
      </c>
      <c r="C959" s="8" t="s">
        <v>2201</v>
      </c>
      <c r="D959" s="9" t="s">
        <v>2202</v>
      </c>
      <c r="E959" s="10" t="str">
        <f>HYPERLINK("https://twitter.com/ppcsvox/status/1065581477788831749","1065581477788831749")</f>
        <v>1065581477788831749</v>
      </c>
      <c r="F959" s="11"/>
      <c r="G959" s="11"/>
      <c r="H959" s="11"/>
      <c r="I959" s="12">
        <v>0</v>
      </c>
      <c r="J959" s="12">
        <v>0</v>
      </c>
      <c r="K959" s="13" t="str">
        <f t="shared" si="198"/>
        <v>Twitter for Android</v>
      </c>
      <c r="L959" s="12">
        <v>0</v>
      </c>
      <c r="M959" s="12">
        <v>0</v>
      </c>
      <c r="N959" s="12">
        <v>0</v>
      </c>
      <c r="O959" s="15"/>
      <c r="P959" s="6">
        <v>43415.562939814816</v>
      </c>
      <c r="Q959" s="11"/>
      <c r="R959" s="17" t="s">
        <v>2205</v>
      </c>
      <c r="S959" s="11"/>
      <c r="T959" s="11"/>
      <c r="U959" s="10" t="str">
        <f>HYPERLINK("https://pbs.twimg.com/profile_images/1061736483743248384/4FYMD0h_.jpg","View")</f>
        <v>View</v>
      </c>
    </row>
    <row r="960" spans="1:21" ht="61.2">
      <c r="A960" s="6">
        <v>43426.181979166664</v>
      </c>
      <c r="B960" s="7" t="str">
        <f>HYPERLINK("https://twitter.com/Kage_No_Shinobi","@Kage_No_Shinobi")</f>
        <v>@Kage_No_Shinobi</v>
      </c>
      <c r="C960" s="8" t="s">
        <v>5704</v>
      </c>
      <c r="D960" s="9" t="s">
        <v>5705</v>
      </c>
      <c r="E960" s="10" t="str">
        <f>HYPERLINK("https://twitter.com/Kage_No_Shinobi/status/1065581173181726720","1065581173181726720")</f>
        <v>1065581173181726720</v>
      </c>
      <c r="F960" s="16" t="s">
        <v>1742</v>
      </c>
      <c r="G960" s="14" t="s">
        <v>1431</v>
      </c>
      <c r="H960" s="11"/>
      <c r="I960" s="12">
        <v>0</v>
      </c>
      <c r="J960" s="12">
        <v>0</v>
      </c>
      <c r="K960" s="13" t="str">
        <f t="shared" si="198"/>
        <v>Twitter for Android</v>
      </c>
      <c r="L960" s="12">
        <v>93</v>
      </c>
      <c r="M960" s="12">
        <v>572</v>
      </c>
      <c r="N960" s="12">
        <v>0</v>
      </c>
      <c r="O960" s="15"/>
      <c r="P960" s="6">
        <v>42177.276608796295</v>
      </c>
      <c r="Q960" s="16" t="s">
        <v>5706</v>
      </c>
      <c r="R960" s="17" t="s">
        <v>5707</v>
      </c>
      <c r="S960" s="14" t="s">
        <v>5708</v>
      </c>
      <c r="T960" s="11"/>
      <c r="U960" s="10" t="str">
        <f>HYPERLINK("https://pbs.twimg.com/profile_images/1050412470190428160/9g7UCNWl.jpg","View")</f>
        <v>View</v>
      </c>
    </row>
    <row r="961" spans="1:21" ht="30.6">
      <c r="A961" s="6">
        <v>43426.181585648148</v>
      </c>
      <c r="B961" s="7" t="str">
        <f>HYPERLINK("https://twitter.com/RadarCojedes","@RadarCojedes")</f>
        <v>@RadarCojedes</v>
      </c>
      <c r="C961" s="8" t="s">
        <v>336</v>
      </c>
      <c r="D961" s="9" t="s">
        <v>5505</v>
      </c>
      <c r="E961" s="10" t="str">
        <f>HYPERLINK("https://twitter.com/RadarCojedes/status/1065581029904257026","1065581029904257026")</f>
        <v>1065581029904257026</v>
      </c>
      <c r="F961" s="14" t="s">
        <v>5507</v>
      </c>
      <c r="G961" s="11"/>
      <c r="H961" s="11"/>
      <c r="I961" s="12">
        <v>0</v>
      </c>
      <c r="J961" s="12">
        <v>0</v>
      </c>
      <c r="K961" s="13" t="str">
        <f>HYPERLINK("https://ifttt.com","IFTTT")</f>
        <v>IFTTT</v>
      </c>
      <c r="L961" s="12">
        <v>181</v>
      </c>
      <c r="M961" s="12">
        <v>154</v>
      </c>
      <c r="N961" s="12">
        <v>0</v>
      </c>
      <c r="O961" s="15"/>
      <c r="P961" s="6">
        <v>42813.842083333337</v>
      </c>
      <c r="Q961" s="11"/>
      <c r="R961" s="17" t="s">
        <v>338</v>
      </c>
      <c r="S961" s="11"/>
      <c r="T961" s="11"/>
      <c r="U961" s="10" t="str">
        <f>HYPERLINK("https://pbs.twimg.com/profile_images/1033939139476041728/47ycC3eo.jpg","View")</f>
        <v>View</v>
      </c>
    </row>
    <row r="962" spans="1:21" ht="30.6">
      <c r="A962" s="6">
        <v>43426.180821759262</v>
      </c>
      <c r="B962" s="7" t="str">
        <f>HYPERLINK("https://twitter.com/rodrigoslay","@rodrigoslay")</f>
        <v>@rodrigoslay</v>
      </c>
      <c r="C962" s="8" t="s">
        <v>225</v>
      </c>
      <c r="D962" s="9" t="s">
        <v>5709</v>
      </c>
      <c r="E962" s="10" t="str">
        <f>HYPERLINK("https://twitter.com/rodrigoslay/status/1065580751259873280","1065580751259873280")</f>
        <v>1065580751259873280</v>
      </c>
      <c r="F962" s="14" t="s">
        <v>5710</v>
      </c>
      <c r="G962" s="11"/>
      <c r="H962" s="11"/>
      <c r="I962" s="12">
        <v>0</v>
      </c>
      <c r="J962" s="12">
        <v>0</v>
      </c>
      <c r="K962" s="13" t="str">
        <f>HYPERLINK("http://www.facebook.com/twitter","Facebook")</f>
        <v>Facebook</v>
      </c>
      <c r="L962" s="12">
        <v>2166</v>
      </c>
      <c r="M962" s="12">
        <v>2365</v>
      </c>
      <c r="N962" s="12">
        <v>53</v>
      </c>
      <c r="O962" s="15"/>
      <c r="P962" s="6">
        <v>39671.599479166667</v>
      </c>
      <c r="Q962" s="16" t="s">
        <v>231</v>
      </c>
      <c r="R962" s="17" t="s">
        <v>232</v>
      </c>
      <c r="S962" s="14" t="s">
        <v>233</v>
      </c>
      <c r="T962" s="11"/>
      <c r="U962" s="10" t="str">
        <f>HYPERLINK("https://pbs.twimg.com/profile_images/560623998984134656/36G8dUlo.jpeg","View")</f>
        <v>View</v>
      </c>
    </row>
    <row r="963" spans="1:21" ht="40.799999999999997">
      <c r="A963" s="6">
        <v>43426.180763888886</v>
      </c>
      <c r="B963" s="7" t="str">
        <f>HYPERLINK("https://twitter.com/slaymultimedios","@slaymultimedios")</f>
        <v>@slaymultimedios</v>
      </c>
      <c r="C963" s="8" t="s">
        <v>236</v>
      </c>
      <c r="D963" s="9" t="s">
        <v>5711</v>
      </c>
      <c r="E963" s="10" t="str">
        <f>HYPERLINK("https://twitter.com/slaymultimedios/status/1065580732049956864","1065580732049956864")</f>
        <v>1065580732049956864</v>
      </c>
      <c r="F963" s="14" t="s">
        <v>5712</v>
      </c>
      <c r="G963" s="11"/>
      <c r="H963" s="11"/>
      <c r="I963" s="12">
        <v>0</v>
      </c>
      <c r="J963" s="12">
        <v>0</v>
      </c>
      <c r="K963" s="13" t="str">
        <f>HYPERLINK("http://www.slaymultimedios.com","WebSiteSlayMultimedios")</f>
        <v>WebSiteSlayMultimedios</v>
      </c>
      <c r="L963" s="12">
        <v>41749</v>
      </c>
      <c r="M963" s="12">
        <v>178</v>
      </c>
      <c r="N963" s="12">
        <v>410</v>
      </c>
      <c r="O963" s="15"/>
      <c r="P963" s="6">
        <v>40209.55605324074</v>
      </c>
      <c r="Q963" s="16" t="s">
        <v>241</v>
      </c>
      <c r="R963" s="17" t="s">
        <v>242</v>
      </c>
      <c r="S963" s="14" t="s">
        <v>233</v>
      </c>
      <c r="T963" s="11"/>
      <c r="U963" s="10" t="str">
        <f>HYPERLINK("https://pbs.twimg.com/profile_images/714690465916817408/1NXaiuED.jpg","View")</f>
        <v>View</v>
      </c>
    </row>
    <row r="964" spans="1:21" ht="81.599999999999994">
      <c r="A964" s="6">
        <v>43426.180092592593</v>
      </c>
      <c r="B964" s="7" t="str">
        <f>HYPERLINK("https://twitter.com/Juan_LuCC","@Juan_LuCC")</f>
        <v>@Juan_LuCC</v>
      </c>
      <c r="C964" s="8" t="s">
        <v>2207</v>
      </c>
      <c r="D964" s="9" t="s">
        <v>2209</v>
      </c>
      <c r="E964" s="10" t="str">
        <f>HYPERLINK("https://twitter.com/Juan_LuCC/status/1065580487782092800","1065580487782092800")</f>
        <v>1065580487782092800</v>
      </c>
      <c r="F964" s="16" t="s">
        <v>1205</v>
      </c>
      <c r="G964" s="11"/>
      <c r="H964" s="11"/>
      <c r="I964" s="12">
        <v>0</v>
      </c>
      <c r="J964" s="12">
        <v>0</v>
      </c>
      <c r="K964" s="13" t="str">
        <f>HYPERLINK("http://twitter.com/download/android","Twitter for Android")</f>
        <v>Twitter for Android</v>
      </c>
      <c r="L964" s="12">
        <v>134</v>
      </c>
      <c r="M964" s="12">
        <v>357</v>
      </c>
      <c r="N964" s="12">
        <v>0</v>
      </c>
      <c r="O964" s="15"/>
      <c r="P964" s="6">
        <v>41906.270972222221</v>
      </c>
      <c r="Q964" s="16" t="s">
        <v>2211</v>
      </c>
      <c r="R964" s="17" t="s">
        <v>2212</v>
      </c>
      <c r="S964" s="11"/>
      <c r="T964" s="11"/>
      <c r="U964" s="10" t="str">
        <f>HYPERLINK("https://pbs.twimg.com/profile_images/514774773986254849/FXfW74ZW.jpeg","View")</f>
        <v>View</v>
      </c>
    </row>
    <row r="965" spans="1:21" ht="71.400000000000006">
      <c r="A965" s="6">
        <v>43426.179837962962</v>
      </c>
      <c r="B965" s="7" t="str">
        <f>HYPERLINK("https://twitter.com/JacoNaufrago","@JacoNaufrago")</f>
        <v>@JacoNaufrago</v>
      </c>
      <c r="C965" s="8" t="s">
        <v>5713</v>
      </c>
      <c r="D965" s="9" t="s">
        <v>5714</v>
      </c>
      <c r="E965" s="10" t="str">
        <f>HYPERLINK("https://twitter.com/JacoNaufrago/status/1065580394236575744","1065580394236575744")</f>
        <v>1065580394236575744</v>
      </c>
      <c r="F965" s="16" t="s">
        <v>1429</v>
      </c>
      <c r="G965" s="14" t="s">
        <v>1431</v>
      </c>
      <c r="H965" s="11"/>
      <c r="I965" s="12">
        <v>7</v>
      </c>
      <c r="J965" s="12">
        <v>41</v>
      </c>
      <c r="K965" s="13" t="str">
        <f>HYPERLINK("http://twitter.com/download/iphone","Twitter for iPhone")</f>
        <v>Twitter for iPhone</v>
      </c>
      <c r="L965" s="12">
        <v>395</v>
      </c>
      <c r="M965" s="12">
        <v>426</v>
      </c>
      <c r="N965" s="12">
        <v>0</v>
      </c>
      <c r="O965" s="15"/>
      <c r="P965" s="6">
        <v>43402.510995370365</v>
      </c>
      <c r="Q965" s="16" t="s">
        <v>5715</v>
      </c>
      <c r="R965" s="17" t="s">
        <v>5716</v>
      </c>
      <c r="S965" s="11"/>
      <c r="T965" s="11"/>
      <c r="U965" s="10" t="str">
        <f>HYPERLINK("https://pbs.twimg.com/profile_images/1063197658079260672/2Ky1VWAv.jpg","View")</f>
        <v>View</v>
      </c>
    </row>
    <row r="966" spans="1:21" ht="30.6">
      <c r="A966" s="6">
        <v>43426.178240740745</v>
      </c>
      <c r="B966" s="7" t="str">
        <f>HYPERLINK("https://twitter.com/ontibe","@ontibe")</f>
        <v>@ontibe</v>
      </c>
      <c r="C966" s="8" t="s">
        <v>5717</v>
      </c>
      <c r="D966" s="9" t="s">
        <v>3961</v>
      </c>
      <c r="E966" s="10" t="str">
        <f>HYPERLINK("https://twitter.com/ontibe/status/1065579816001445893","1065579816001445893")</f>
        <v>1065579816001445893</v>
      </c>
      <c r="F966" s="14" t="s">
        <v>5655</v>
      </c>
      <c r="G966" s="11"/>
      <c r="H966" s="11"/>
      <c r="I966" s="12">
        <v>0</v>
      </c>
      <c r="J966" s="12">
        <v>0</v>
      </c>
      <c r="K966" s="13" t="str">
        <f t="shared" ref="K966:K968" si="199">HYPERLINK("http://twitter.com","Twitter Web Client")</f>
        <v>Twitter Web Client</v>
      </c>
      <c r="L966" s="12">
        <v>432</v>
      </c>
      <c r="M966" s="12">
        <v>1265</v>
      </c>
      <c r="N966" s="12">
        <v>1</v>
      </c>
      <c r="O966" s="15"/>
      <c r="P966" s="6">
        <v>40673.252766203703</v>
      </c>
      <c r="Q966" s="16" t="s">
        <v>5718</v>
      </c>
      <c r="R966" s="17" t="s">
        <v>5719</v>
      </c>
      <c r="S966" s="11"/>
      <c r="T966" s="11"/>
      <c r="U966" s="10" t="str">
        <f>HYPERLINK("https://pbs.twimg.com/profile_images/867069058037972993/9c2-Wrp7.jpg","View")</f>
        <v>View</v>
      </c>
    </row>
    <row r="967" spans="1:21" ht="30.6">
      <c r="A967" s="6">
        <v>43426.177094907413</v>
      </c>
      <c r="B967" s="7" t="str">
        <f>HYPERLINK("https://twitter.com/JuanPoz9","@JuanPoz9")</f>
        <v>@JuanPoz9</v>
      </c>
      <c r="C967" s="8" t="s">
        <v>5720</v>
      </c>
      <c r="D967" s="9" t="s">
        <v>768</v>
      </c>
      <c r="E967" s="10" t="str">
        <f>HYPERLINK("https://twitter.com/JuanPoz9/status/1065579402224910337","1065579402224910337")</f>
        <v>1065579402224910337</v>
      </c>
      <c r="F967" s="14" t="s">
        <v>529</v>
      </c>
      <c r="G967" s="11"/>
      <c r="H967" s="11"/>
      <c r="I967" s="12">
        <v>0</v>
      </c>
      <c r="J967" s="12">
        <v>0</v>
      </c>
      <c r="K967" s="13" t="str">
        <f t="shared" si="199"/>
        <v>Twitter Web Client</v>
      </c>
      <c r="L967" s="12">
        <v>838</v>
      </c>
      <c r="M967" s="12">
        <v>634</v>
      </c>
      <c r="N967" s="12">
        <v>13</v>
      </c>
      <c r="O967" s="15"/>
      <c r="P967" s="6">
        <v>41894.259363425925</v>
      </c>
      <c r="Q967" s="11"/>
      <c r="R967" s="17" t="s">
        <v>5721</v>
      </c>
      <c r="S967" s="14" t="s">
        <v>5722</v>
      </c>
      <c r="T967" s="11"/>
      <c r="U967" s="10" t="str">
        <f>HYPERLINK("https://pbs.twimg.com/profile_images/795538946180648960/FLGzK-DG.jpg","View")</f>
        <v>View</v>
      </c>
    </row>
    <row r="968" spans="1:21" ht="40.799999999999997">
      <c r="A968" s="6">
        <v>43426.176886574074</v>
      </c>
      <c r="B968" s="7" t="str">
        <f>HYPERLINK("https://twitter.com/FelipeAlcarazM","@FelipeAlcarazM")</f>
        <v>@FelipeAlcarazM</v>
      </c>
      <c r="C968" s="8" t="s">
        <v>2214</v>
      </c>
      <c r="D968" s="9" t="s">
        <v>2215</v>
      </c>
      <c r="E968" s="10" t="str">
        <f>HYPERLINK("https://twitter.com/FelipeAlcarazM/status/1065579324324106241","1065579324324106241")</f>
        <v>1065579324324106241</v>
      </c>
      <c r="F968" s="14" t="s">
        <v>96</v>
      </c>
      <c r="G968" s="11"/>
      <c r="H968" s="11"/>
      <c r="I968" s="12">
        <v>3</v>
      </c>
      <c r="J968" s="12">
        <v>0</v>
      </c>
      <c r="K968" s="13" t="str">
        <f t="shared" si="199"/>
        <v>Twitter Web Client</v>
      </c>
      <c r="L968" s="12">
        <v>20444</v>
      </c>
      <c r="M968" s="12">
        <v>4267</v>
      </c>
      <c r="N968" s="12">
        <v>349</v>
      </c>
      <c r="O968" s="15"/>
      <c r="P968" s="6">
        <v>40564.553414351853</v>
      </c>
      <c r="Q968" s="16" t="s">
        <v>132</v>
      </c>
      <c r="R968" s="17" t="s">
        <v>2216</v>
      </c>
      <c r="S968" s="11"/>
      <c r="T968" s="11"/>
      <c r="U968" s="10" t="str">
        <f>HYPERLINK("https://pbs.twimg.com/profile_images/1630177305/FOTO_TWITTER.jpg","View")</f>
        <v>View</v>
      </c>
    </row>
    <row r="969" spans="1:21" ht="20.399999999999999">
      <c r="A969" s="6">
        <v>43426.176585648151</v>
      </c>
      <c r="B969" s="7" t="str">
        <f>HYPERLINK("https://twitter.com/cubaenmalaga","@cubaenmalaga")</f>
        <v>@cubaenmalaga</v>
      </c>
      <c r="C969" s="8" t="s">
        <v>5723</v>
      </c>
      <c r="D969" s="9" t="s">
        <v>768</v>
      </c>
      <c r="E969" s="10" t="str">
        <f>HYPERLINK("https://twitter.com/cubaenmalaga/status/1065579217419677696","1065579217419677696")</f>
        <v>1065579217419677696</v>
      </c>
      <c r="F969" s="14" t="s">
        <v>529</v>
      </c>
      <c r="G969" s="11"/>
      <c r="H969" s="11"/>
      <c r="I969" s="12">
        <v>0</v>
      </c>
      <c r="J969" s="12">
        <v>0</v>
      </c>
      <c r="K969" s="13" t="str">
        <f t="shared" ref="K969:K970" si="200">HYPERLINK("http://twitter.com/download/android","Twitter for Android")</f>
        <v>Twitter for Android</v>
      </c>
      <c r="L969" s="12">
        <v>201</v>
      </c>
      <c r="M969" s="12">
        <v>257</v>
      </c>
      <c r="N969" s="12">
        <v>1</v>
      </c>
      <c r="O969" s="15"/>
      <c r="P969" s="6">
        <v>42520.547662037032</v>
      </c>
      <c r="Q969" s="16" t="s">
        <v>3305</v>
      </c>
      <c r="R969" s="17" t="s">
        <v>5724</v>
      </c>
      <c r="S969" s="11"/>
      <c r="T969" s="11"/>
      <c r="U969" s="10" t="str">
        <f>HYPERLINK("https://pbs.twimg.com/profile_images/898103546033434624/RQK6Cbhr.jpg","View")</f>
        <v>View</v>
      </c>
    </row>
    <row r="970" spans="1:21" ht="51">
      <c r="A970" s="6">
        <v>43426.176203703704</v>
      </c>
      <c r="B970" s="7" t="str">
        <f>HYPERLINK("https://twitter.com/agus_m_altes","@agus_m_altes")</f>
        <v>@agus_m_altes</v>
      </c>
      <c r="C970" s="8" t="s">
        <v>5725</v>
      </c>
      <c r="D970" s="9" t="s">
        <v>5726</v>
      </c>
      <c r="E970" s="10" t="str">
        <f>HYPERLINK("https://twitter.com/agus_m_altes/status/1065579077699072000","1065579077699072000")</f>
        <v>1065579077699072000</v>
      </c>
      <c r="F970" s="11"/>
      <c r="G970" s="11"/>
      <c r="H970" s="11"/>
      <c r="I970" s="12">
        <v>0</v>
      </c>
      <c r="J970" s="12">
        <v>0</v>
      </c>
      <c r="K970" s="13" t="str">
        <f t="shared" si="200"/>
        <v>Twitter for Android</v>
      </c>
      <c r="L970" s="12">
        <v>478</v>
      </c>
      <c r="M970" s="12">
        <v>1193</v>
      </c>
      <c r="N970" s="12">
        <v>1</v>
      </c>
      <c r="O970" s="15"/>
      <c r="P970" s="6">
        <v>42968.128333333334</v>
      </c>
      <c r="Q970" s="11"/>
      <c r="R970" s="17" t="s">
        <v>5727</v>
      </c>
      <c r="S970" s="11"/>
      <c r="T970" s="11"/>
      <c r="U970" s="10" t="str">
        <f>HYPERLINK("https://pbs.twimg.com/profile_images/899577060393459712/2rE6D2YD.jpg","View")</f>
        <v>View</v>
      </c>
    </row>
    <row r="971" spans="1:21" ht="40.799999999999997">
      <c r="A971" s="6">
        <v>43426.175520833334</v>
      </c>
      <c r="B971" s="7" t="str">
        <f>HYPERLINK("https://twitter.com/PRIVADOPEPE","@PRIVADOPEPE")</f>
        <v>@PRIVADOPEPE</v>
      </c>
      <c r="C971" s="8" t="s">
        <v>2217</v>
      </c>
      <c r="D971" s="9" t="s">
        <v>2218</v>
      </c>
      <c r="E971" s="10" t="str">
        <f>HYPERLINK("https://twitter.com/PRIVADOPEPE/status/1065578829580771328","1065578829580771328")</f>
        <v>1065578829580771328</v>
      </c>
      <c r="F971" s="11"/>
      <c r="G971" s="11"/>
      <c r="H971" s="11"/>
      <c r="I971" s="12">
        <v>1</v>
      </c>
      <c r="J971" s="12">
        <v>2</v>
      </c>
      <c r="K971" s="13" t="str">
        <f>HYPERLINK("http://twitter.com","Twitter Web Client")</f>
        <v>Twitter Web Client</v>
      </c>
      <c r="L971" s="12">
        <v>99</v>
      </c>
      <c r="M971" s="12">
        <v>104</v>
      </c>
      <c r="N971" s="12">
        <v>6</v>
      </c>
      <c r="O971" s="15"/>
      <c r="P971" s="6">
        <v>42667.083402777775</v>
      </c>
      <c r="Q971" s="16" t="s">
        <v>407</v>
      </c>
      <c r="R971" s="17" t="s">
        <v>2220</v>
      </c>
      <c r="S971" s="11"/>
      <c r="T971" s="11"/>
      <c r="U971" s="10" t="str">
        <f>HYPERLINK("https://pbs.twimg.com/profile_images/1041762351886868480/GmK8QXiR.jpg","View")</f>
        <v>View</v>
      </c>
    </row>
    <row r="972" spans="1:21" ht="40.799999999999997">
      <c r="A972" s="6">
        <v>43426.175081018519</v>
      </c>
      <c r="B972" s="7" t="str">
        <f>HYPERLINK("https://twitter.com/alvaromieres","@alvaromieres")</f>
        <v>@alvaromieres</v>
      </c>
      <c r="C972" s="8" t="s">
        <v>5728</v>
      </c>
      <c r="D972" s="9" t="s">
        <v>5729</v>
      </c>
      <c r="E972" s="10" t="str">
        <f>HYPERLINK("https://twitter.com/alvaromieres/status/1065578672617340928","1065578672617340928")</f>
        <v>1065578672617340928</v>
      </c>
      <c r="F972" s="11"/>
      <c r="G972" s="14" t="s">
        <v>5730</v>
      </c>
      <c r="H972" s="11"/>
      <c r="I972" s="12">
        <v>0</v>
      </c>
      <c r="J972" s="12">
        <v>2</v>
      </c>
      <c r="K972" s="13" t="str">
        <f>HYPERLINK("http://twitter.com/download/android","Twitter for Android")</f>
        <v>Twitter for Android</v>
      </c>
      <c r="L972" s="12">
        <v>3117</v>
      </c>
      <c r="M972" s="12">
        <v>3031</v>
      </c>
      <c r="N972" s="12">
        <v>22</v>
      </c>
      <c r="O972" s="15"/>
      <c r="P972" s="6">
        <v>40755.56108796296</v>
      </c>
      <c r="Q972" s="16" t="s">
        <v>5731</v>
      </c>
      <c r="R972" s="17" t="s">
        <v>5732</v>
      </c>
      <c r="S972" s="14" t="s">
        <v>5733</v>
      </c>
      <c r="T972" s="11"/>
      <c r="U972" s="10" t="str">
        <f>HYPERLINK("https://pbs.twimg.com/profile_images/1063922325714886657/-tQU16wr.jpg","View")</f>
        <v>View</v>
      </c>
    </row>
    <row r="973" spans="1:21" ht="71.400000000000006">
      <c r="A973" s="6">
        <v>43426.173738425925</v>
      </c>
      <c r="B973" s="7" t="str">
        <f>HYPERLINK("https://twitter.com/imariosantos","@imariosantos")</f>
        <v>@imariosantos</v>
      </c>
      <c r="C973" s="8" t="s">
        <v>2222</v>
      </c>
      <c r="D973" s="9" t="s">
        <v>2223</v>
      </c>
      <c r="E973" s="10" t="str">
        <f>HYPERLINK("https://twitter.com/imariosantos/status/1065578186510090240","1065578186510090240")</f>
        <v>1065578186510090240</v>
      </c>
      <c r="F973" s="14" t="s">
        <v>2224</v>
      </c>
      <c r="G973" s="11"/>
      <c r="H973" s="11"/>
      <c r="I973" s="12">
        <v>0</v>
      </c>
      <c r="J973" s="12">
        <v>0</v>
      </c>
      <c r="K973" s="13" t="str">
        <f>HYPERLINK("http://twitter.com","Twitter Web Client")</f>
        <v>Twitter Web Client</v>
      </c>
      <c r="L973" s="12">
        <v>60</v>
      </c>
      <c r="M973" s="12">
        <v>408</v>
      </c>
      <c r="N973" s="12">
        <v>0</v>
      </c>
      <c r="O973" s="15"/>
      <c r="P973" s="6">
        <v>42670.367812500001</v>
      </c>
      <c r="Q973" s="11"/>
      <c r="R973" s="17" t="s">
        <v>2227</v>
      </c>
      <c r="S973" s="11"/>
      <c r="T973" s="11"/>
      <c r="U973" s="10" t="str">
        <f>HYPERLINK("https://pbs.twimg.com/profile_images/1005257216448921600/XPHoMgVE.jpg","View")</f>
        <v>View</v>
      </c>
    </row>
    <row r="974" spans="1:21" ht="20.399999999999999">
      <c r="A974" s="6">
        <v>43426.173622685186</v>
      </c>
      <c r="B974" s="7" t="str">
        <f>HYPERLINK("https://twitter.com/JuanAlberti5","@JuanAlberti5")</f>
        <v>@JuanAlberti5</v>
      </c>
      <c r="C974" s="8" t="s">
        <v>5735</v>
      </c>
      <c r="D974" s="9" t="s">
        <v>768</v>
      </c>
      <c r="E974" s="10" t="str">
        <f>HYPERLINK("https://twitter.com/JuanAlberti5/status/1065578143057096704","1065578143057096704")</f>
        <v>1065578143057096704</v>
      </c>
      <c r="F974" s="14" t="s">
        <v>529</v>
      </c>
      <c r="G974" s="11"/>
      <c r="H974" s="11"/>
      <c r="I974" s="12">
        <v>0</v>
      </c>
      <c r="J974" s="12">
        <v>0</v>
      </c>
      <c r="K974" s="13" t="str">
        <f>HYPERLINK("http://twitter.com/download/iphone","Twitter for iPhone")</f>
        <v>Twitter for iPhone</v>
      </c>
      <c r="L974" s="12">
        <v>76</v>
      </c>
      <c r="M974" s="12">
        <v>189</v>
      </c>
      <c r="N974" s="12">
        <v>0</v>
      </c>
      <c r="O974" s="15"/>
      <c r="P974" s="6">
        <v>43403.43950231481</v>
      </c>
      <c r="Q974" s="16" t="s">
        <v>886</v>
      </c>
      <c r="R974" s="17" t="s">
        <v>5736</v>
      </c>
      <c r="S974" s="14" t="s">
        <v>5737</v>
      </c>
      <c r="T974" s="11"/>
      <c r="U974" s="10" t="str">
        <f>HYPERLINK("https://pbs.twimg.com/profile_images/1057325766306873344/Cvw1Y__8.jpg","View")</f>
        <v>View</v>
      </c>
    </row>
    <row r="975" spans="1:21" ht="20.399999999999999">
      <c r="A975" s="6">
        <v>43426.17355324074</v>
      </c>
      <c r="B975" s="7" t="str">
        <f>HYPERLINK("https://twitter.com/sevillairene","@sevillairene")</f>
        <v>@sevillairene</v>
      </c>
      <c r="C975" s="8" t="s">
        <v>2232</v>
      </c>
      <c r="D975" s="9" t="s">
        <v>2233</v>
      </c>
      <c r="E975" s="10" t="str">
        <f>HYPERLINK("https://twitter.com/sevillairene/status/1065578119896199175","1065578119896199175")</f>
        <v>1065578119896199175</v>
      </c>
      <c r="F975" s="14" t="s">
        <v>2234</v>
      </c>
      <c r="G975" s="11"/>
      <c r="H975" s="11"/>
      <c r="I975" s="12">
        <v>1</v>
      </c>
      <c r="J975" s="12">
        <v>0</v>
      </c>
      <c r="K975" s="13" t="str">
        <f t="shared" ref="K975:K976" si="201">HYPERLINK("http://twitter.com","Twitter Web Client")</f>
        <v>Twitter Web Client</v>
      </c>
      <c r="L975" s="12">
        <v>994</v>
      </c>
      <c r="M975" s="12">
        <v>1018</v>
      </c>
      <c r="N975" s="12">
        <v>31</v>
      </c>
      <c r="O975" s="15"/>
      <c r="P975" s="6">
        <v>40613.455925925926</v>
      </c>
      <c r="Q975" s="16" t="s">
        <v>38</v>
      </c>
      <c r="R975" s="17" t="s">
        <v>2235</v>
      </c>
      <c r="S975" s="11"/>
      <c r="T975" s="11"/>
      <c r="U975" s="10" t="str">
        <f>HYPERLINK("https://pbs.twimg.com/profile_images/1867003106/irene_4.jpg","View")</f>
        <v>View</v>
      </c>
    </row>
    <row r="976" spans="1:21" ht="40.799999999999997">
      <c r="A976" s="6">
        <v>43426.172534722224</v>
      </c>
      <c r="B976" s="7" t="str">
        <f>HYPERLINK("https://twitter.com/CarMontoro","@CarMontoro")</f>
        <v>@CarMontoro</v>
      </c>
      <c r="C976" s="8" t="s">
        <v>5738</v>
      </c>
      <c r="D976" s="9" t="s">
        <v>5739</v>
      </c>
      <c r="E976" s="10" t="str">
        <f>HYPERLINK("https://twitter.com/CarMontoro/status/1065577747928555520","1065577747928555520")</f>
        <v>1065577747928555520</v>
      </c>
      <c r="F976" s="16" t="s">
        <v>1112</v>
      </c>
      <c r="G976" s="11"/>
      <c r="H976" s="11"/>
      <c r="I976" s="12">
        <v>1</v>
      </c>
      <c r="J976" s="12">
        <v>0</v>
      </c>
      <c r="K976" s="13" t="str">
        <f t="shared" si="201"/>
        <v>Twitter Web Client</v>
      </c>
      <c r="L976" s="12">
        <v>138</v>
      </c>
      <c r="M976" s="12">
        <v>228</v>
      </c>
      <c r="N976" s="12">
        <v>10</v>
      </c>
      <c r="O976" s="15"/>
      <c r="P976" s="6">
        <v>41209.541828703703</v>
      </c>
      <c r="Q976" s="11"/>
      <c r="R976" s="17" t="s">
        <v>5740</v>
      </c>
      <c r="S976" s="11"/>
      <c r="T976" s="11"/>
      <c r="U976" s="10" t="str">
        <f>HYPERLINK("https://pbs.twimg.com/profile_images/1021422756049678336/cXsT2NS3.jpg","View")</f>
        <v>View</v>
      </c>
    </row>
    <row r="977" spans="1:21" ht="40.799999999999997">
      <c r="A977" s="6">
        <v>43426.172222222223</v>
      </c>
      <c r="B977" s="7" t="str">
        <f>HYPERLINK("https://twitter.com/SputnikMundo","@SputnikMundo")</f>
        <v>@SputnikMundo</v>
      </c>
      <c r="C977" s="8" t="s">
        <v>110</v>
      </c>
      <c r="D977" s="9" t="s">
        <v>5505</v>
      </c>
      <c r="E977" s="10" t="str">
        <f>HYPERLINK("https://twitter.com/SputnikMundo/status/1065577634929750016","1065577634929750016")</f>
        <v>1065577634929750016</v>
      </c>
      <c r="F977" s="14" t="s">
        <v>5741</v>
      </c>
      <c r="G977" s="11"/>
      <c r="H977" s="11"/>
      <c r="I977" s="12">
        <v>5</v>
      </c>
      <c r="J977" s="12">
        <v>7</v>
      </c>
      <c r="K977" s="13" t="str">
        <f>HYPERLINK("https://about.twitter.com/products/tweetdeck","TweetDeck")</f>
        <v>TweetDeck</v>
      </c>
      <c r="L977" s="12">
        <v>62296</v>
      </c>
      <c r="M977" s="12">
        <v>148</v>
      </c>
      <c r="N977" s="12">
        <v>1382</v>
      </c>
      <c r="O977" s="18" t="s">
        <v>52</v>
      </c>
      <c r="P977" s="6">
        <v>40590.159212962964</v>
      </c>
      <c r="Q977" s="16" t="s">
        <v>113</v>
      </c>
      <c r="R977" s="17" t="s">
        <v>114</v>
      </c>
      <c r="S977" s="14" t="s">
        <v>115</v>
      </c>
      <c r="T977" s="11"/>
      <c r="U977" s="10" t="str">
        <f>HYPERLINK("https://pbs.twimg.com/profile_images/1001124018030866432/SDDNffA0.jpg","View")</f>
        <v>View</v>
      </c>
    </row>
    <row r="978" spans="1:21" ht="40.799999999999997">
      <c r="A978" s="6">
        <v>43426.171689814815</v>
      </c>
      <c r="B978" s="7" t="str">
        <f>HYPERLINK("https://twitter.com/AdeSiracusa","@AdeSiracusa")</f>
        <v>@AdeSiracusa</v>
      </c>
      <c r="C978" s="8" t="s">
        <v>3890</v>
      </c>
      <c r="D978" s="9" t="s">
        <v>5742</v>
      </c>
      <c r="E978" s="10" t="str">
        <f>HYPERLINK("https://twitter.com/AdeSiracusa/status/1065577442641944576","1065577442641944576")</f>
        <v>1065577442641944576</v>
      </c>
      <c r="F978" s="14" t="s">
        <v>5743</v>
      </c>
      <c r="G978" s="11"/>
      <c r="H978" s="11"/>
      <c r="I978" s="12">
        <v>0</v>
      </c>
      <c r="J978" s="12">
        <v>0</v>
      </c>
      <c r="K978" s="13" t="str">
        <f>HYPERLINK("http://www.republicosvenezuela.com/","AdeSiracusa")</f>
        <v>AdeSiracusa</v>
      </c>
      <c r="L978" s="12">
        <v>3920</v>
      </c>
      <c r="M978" s="12">
        <v>3927</v>
      </c>
      <c r="N978" s="12">
        <v>12</v>
      </c>
      <c r="O978" s="15"/>
      <c r="P978" s="6">
        <v>42958.201388888891</v>
      </c>
      <c r="Q978" s="16" t="s">
        <v>3893</v>
      </c>
      <c r="R978" s="17" t="s">
        <v>3894</v>
      </c>
      <c r="S978" s="11"/>
      <c r="T978" s="11"/>
      <c r="U978" s="10" t="str">
        <f>HYPERLINK("https://pbs.twimg.com/profile_images/895978354591105024/x2wNXrPl.jpg","View")</f>
        <v>View</v>
      </c>
    </row>
    <row r="979" spans="1:21" ht="30.6">
      <c r="A979" s="6">
        <v>43426.171226851853</v>
      </c>
      <c r="B979" s="7" t="str">
        <f>HYPERLINK("https://twitter.com/mmoli588","@mmoli588")</f>
        <v>@mmoli588</v>
      </c>
      <c r="C979" s="8" t="s">
        <v>5744</v>
      </c>
      <c r="D979" s="9" t="s">
        <v>1573</v>
      </c>
      <c r="E979" s="10" t="str">
        <f>HYPERLINK("https://twitter.com/mmoli588/status/1065577276526481408","1065577276526481408")</f>
        <v>1065577276526481408</v>
      </c>
      <c r="F979" s="14" t="s">
        <v>1316</v>
      </c>
      <c r="G979" s="11"/>
      <c r="H979" s="11"/>
      <c r="I979" s="12">
        <v>0</v>
      </c>
      <c r="J979" s="12">
        <v>0</v>
      </c>
      <c r="K979" s="13" t="str">
        <f>HYPERLINK("http://twitter.com/download/android","Twitter for Android")</f>
        <v>Twitter for Android</v>
      </c>
      <c r="L979" s="12">
        <v>3323</v>
      </c>
      <c r="M979" s="12">
        <v>4998</v>
      </c>
      <c r="N979" s="12">
        <v>162</v>
      </c>
      <c r="O979" s="15"/>
      <c r="P979" s="6">
        <v>41523.261273148149</v>
      </c>
      <c r="Q979" s="16" t="s">
        <v>5745</v>
      </c>
      <c r="R979" s="17" t="s">
        <v>5746</v>
      </c>
      <c r="S979" s="11"/>
      <c r="T979" s="11"/>
      <c r="U979" s="10" t="str">
        <f>HYPERLINK("https://pbs.twimg.com/profile_images/880415789253308417/9xuOvLtl.jpg","View")</f>
        <v>View</v>
      </c>
    </row>
    <row r="980" spans="1:21" ht="40.799999999999997">
      <c r="A980" s="6">
        <v>43426.171122685184</v>
      </c>
      <c r="B980" s="7" t="str">
        <f>HYPERLINK("https://twitter.com/avat_ma","@avat_ma")</f>
        <v>@avat_ma</v>
      </c>
      <c r="C980" s="8" t="s">
        <v>5747</v>
      </c>
      <c r="D980" s="9" t="s">
        <v>5748</v>
      </c>
      <c r="E980" s="10" t="str">
        <f>HYPERLINK("https://twitter.com/avat_ma/status/1065577237876011008","1065577237876011008")</f>
        <v>1065577237876011008</v>
      </c>
      <c r="F980" s="16" t="s">
        <v>5749</v>
      </c>
      <c r="G980" s="14" t="s">
        <v>5750</v>
      </c>
      <c r="H980" s="11"/>
      <c r="I980" s="12">
        <v>84</v>
      </c>
      <c r="J980" s="12">
        <v>43</v>
      </c>
      <c r="K980" s="13" t="str">
        <f>HYPERLINK("http://twitter.com/download/iphone","Twitter for iPhone")</f>
        <v>Twitter for iPhone</v>
      </c>
      <c r="L980" s="12">
        <v>8109</v>
      </c>
      <c r="M980" s="12">
        <v>1039</v>
      </c>
      <c r="N980" s="12">
        <v>95</v>
      </c>
      <c r="O980" s="15"/>
      <c r="P980" s="6">
        <v>40667.39126157407</v>
      </c>
      <c r="Q980" s="11"/>
      <c r="R980" s="17" t="s">
        <v>5751</v>
      </c>
      <c r="S980" s="14" t="s">
        <v>5752</v>
      </c>
      <c r="T980" s="11"/>
      <c r="U980" s="10" t="str">
        <f>HYPERLINK("https://pbs.twimg.com/profile_images/928960380881326082/4qM-g4-u.jpg","View")</f>
        <v>View</v>
      </c>
    </row>
    <row r="981" spans="1:21" ht="40.799999999999997">
      <c r="A981" s="6">
        <v>43426.171076388884</v>
      </c>
      <c r="B981" s="7" t="str">
        <f>HYPERLINK("https://twitter.com/_Ruiz_Fini","@_Ruiz_Fini")</f>
        <v>@_Ruiz_Fini</v>
      </c>
      <c r="C981" s="8" t="s">
        <v>2236</v>
      </c>
      <c r="D981" s="9" t="s">
        <v>2237</v>
      </c>
      <c r="E981" s="10" t="str">
        <f>HYPERLINK("https://twitter.com/_Ruiz_Fini/status/1065577221144932353","1065577221144932353")</f>
        <v>1065577221144932353</v>
      </c>
      <c r="F981" s="11"/>
      <c r="G981" s="11"/>
      <c r="H981" s="11"/>
      <c r="I981" s="12">
        <v>0</v>
      </c>
      <c r="J981" s="12">
        <v>0</v>
      </c>
      <c r="K981" s="13" t="str">
        <f>HYPERLINK("http://twitter.com/download/android","Twitter for Android")</f>
        <v>Twitter for Android</v>
      </c>
      <c r="L981" s="12">
        <v>588</v>
      </c>
      <c r="M981" s="12">
        <v>740</v>
      </c>
      <c r="N981" s="12">
        <v>24</v>
      </c>
      <c r="O981" s="15"/>
      <c r="P981" s="6">
        <v>42174.28329861111</v>
      </c>
      <c r="Q981" s="16" t="s">
        <v>28</v>
      </c>
      <c r="R981" s="17" t="s">
        <v>2240</v>
      </c>
      <c r="S981" s="11"/>
      <c r="T981" s="11"/>
      <c r="U981" s="10" t="str">
        <f>HYPERLINK("https://pbs.twimg.com/profile_images/1048588249650876416/Xqacey9N.jpg","View")</f>
        <v>View</v>
      </c>
    </row>
    <row r="982" spans="1:21" ht="20.399999999999999">
      <c r="A982" s="6">
        <v>43426.170914351853</v>
      </c>
      <c r="B982" s="7" t="str">
        <f>HYPERLINK("https://twitter.com/PabloPerpinya","@PabloPerpinya")</f>
        <v>@PabloPerpinya</v>
      </c>
      <c r="C982" s="8" t="s">
        <v>5753</v>
      </c>
      <c r="D982" s="9" t="s">
        <v>2895</v>
      </c>
      <c r="E982" s="10" t="str">
        <f>HYPERLINK("https://twitter.com/PabloPerpinya/status/1065577161795485696","1065577161795485696")</f>
        <v>1065577161795485696</v>
      </c>
      <c r="F982" s="14" t="s">
        <v>529</v>
      </c>
      <c r="G982" s="11"/>
      <c r="H982" s="11"/>
      <c r="I982" s="12">
        <v>0</v>
      </c>
      <c r="J982" s="12">
        <v>0</v>
      </c>
      <c r="K982" s="13" t="str">
        <f t="shared" ref="K982:K983" si="202">HYPERLINK("http://twitter.com","Twitter Web Client")</f>
        <v>Twitter Web Client</v>
      </c>
      <c r="L982" s="12">
        <v>431</v>
      </c>
      <c r="M982" s="12">
        <v>1055</v>
      </c>
      <c r="N982" s="12">
        <v>2</v>
      </c>
      <c r="O982" s="15"/>
      <c r="P982" s="6">
        <v>40892.599976851852</v>
      </c>
      <c r="Q982" s="16" t="s">
        <v>5754</v>
      </c>
      <c r="R982" s="17" t="s">
        <v>5755</v>
      </c>
      <c r="S982" s="11"/>
      <c r="T982" s="11"/>
      <c r="U982" s="10" t="str">
        <f>HYPERLINK("https://pbs.twimg.com/profile_images/841200843470852096/XZVa-8NK.jpg","View")</f>
        <v>View</v>
      </c>
    </row>
    <row r="983" spans="1:21" ht="61.2">
      <c r="A983" s="6">
        <v>43426.170532407406</v>
      </c>
      <c r="B983" s="7" t="str">
        <f>HYPERLINK("https://twitter.com/oleosi","@oleosi")</f>
        <v>@oleosi</v>
      </c>
      <c r="C983" s="8" t="s">
        <v>2243</v>
      </c>
      <c r="D983" s="9" t="s">
        <v>2244</v>
      </c>
      <c r="E983" s="10" t="str">
        <f>HYPERLINK("https://twitter.com/oleosi/status/1065577022116823041","1065577022116823041")</f>
        <v>1065577022116823041</v>
      </c>
      <c r="F983" s="14" t="s">
        <v>2246</v>
      </c>
      <c r="G983" s="14" t="s">
        <v>2248</v>
      </c>
      <c r="H983" s="11"/>
      <c r="I983" s="12">
        <v>4</v>
      </c>
      <c r="J983" s="12">
        <v>3</v>
      </c>
      <c r="K983" s="13" t="str">
        <f t="shared" si="202"/>
        <v>Twitter Web Client</v>
      </c>
      <c r="L983" s="12">
        <v>778</v>
      </c>
      <c r="M983" s="12">
        <v>680</v>
      </c>
      <c r="N983" s="12">
        <v>95</v>
      </c>
      <c r="O983" s="15"/>
      <c r="P983" s="6">
        <v>40292.183634259258</v>
      </c>
      <c r="Q983" s="16" t="s">
        <v>38</v>
      </c>
      <c r="R983" s="17" t="s">
        <v>2249</v>
      </c>
      <c r="S983" s="14" t="s">
        <v>2250</v>
      </c>
      <c r="T983" s="11"/>
      <c r="U983" s="10" t="str">
        <f>HYPERLINK("https://pbs.twimg.com/profile_images/985833208435658752/lvFAADjb.jpg","View")</f>
        <v>View</v>
      </c>
    </row>
    <row r="984" spans="1:21" ht="30.6">
      <c r="A984" s="6">
        <v>43426.170451388884</v>
      </c>
      <c r="B984" s="7" t="str">
        <f>HYPERLINK("https://twitter.com/Radioalfalfa","@Radioalfalfa")</f>
        <v>@Radioalfalfa</v>
      </c>
      <c r="C984" s="8" t="s">
        <v>5756</v>
      </c>
      <c r="D984" s="9" t="s">
        <v>5757</v>
      </c>
      <c r="E984" s="10" t="str">
        <f>HYPERLINK("https://twitter.com/Radioalfalfa/status/1065576993566191616","1065576993566191616")</f>
        <v>1065576993566191616</v>
      </c>
      <c r="F984" s="14" t="s">
        <v>5758</v>
      </c>
      <c r="G984" s="11"/>
      <c r="H984" s="11"/>
      <c r="I984" s="12">
        <v>7</v>
      </c>
      <c r="J984" s="12">
        <v>1</v>
      </c>
      <c r="K984" s="13" t="str">
        <f t="shared" ref="K984:K985" si="203">HYPERLINK("http://twitter.com/download/android","Twitter for Android")</f>
        <v>Twitter for Android</v>
      </c>
      <c r="L984" s="12">
        <v>16866</v>
      </c>
      <c r="M984" s="12">
        <v>5478</v>
      </c>
      <c r="N984" s="12">
        <v>65</v>
      </c>
      <c r="O984" s="15"/>
      <c r="P984" s="6">
        <v>40923.500555555554</v>
      </c>
      <c r="Q984" s="16" t="s">
        <v>5759</v>
      </c>
      <c r="R984" s="17" t="s">
        <v>5760</v>
      </c>
      <c r="S984" s="14" t="s">
        <v>5761</v>
      </c>
      <c r="T984" s="11"/>
      <c r="U984" s="10" t="str">
        <f>HYPERLINK("https://pbs.twimg.com/profile_images/874629584360222720/Wi20NTX2.jpg","View")</f>
        <v>View</v>
      </c>
    </row>
    <row r="985" spans="1:21" ht="40.799999999999997">
      <c r="A985" s="6">
        <v>43426.170416666668</v>
      </c>
      <c r="B985" s="7" t="str">
        <f>HYPERLINK("https://twitter.com/PodemosMelilla","@PodemosMelilla")</f>
        <v>@PodemosMelilla</v>
      </c>
      <c r="C985" s="8" t="s">
        <v>2251</v>
      </c>
      <c r="D985" s="9" t="s">
        <v>2252</v>
      </c>
      <c r="E985" s="10" t="str">
        <f>HYPERLINK("https://twitter.com/PodemosMelilla/status/1065576982530965504","1065576982530965504")</f>
        <v>1065576982530965504</v>
      </c>
      <c r="F985" s="14" t="s">
        <v>2253</v>
      </c>
      <c r="G985" s="11"/>
      <c r="H985" s="11"/>
      <c r="I985" s="12">
        <v>0</v>
      </c>
      <c r="J985" s="12">
        <v>1</v>
      </c>
      <c r="K985" s="13" t="str">
        <f t="shared" si="203"/>
        <v>Twitter for Android</v>
      </c>
      <c r="L985" s="12">
        <v>762</v>
      </c>
      <c r="M985" s="12">
        <v>837</v>
      </c>
      <c r="N985" s="12">
        <v>25</v>
      </c>
      <c r="O985" s="18" t="s">
        <v>52</v>
      </c>
      <c r="P985" s="6">
        <v>41784.460856481484</v>
      </c>
      <c r="Q985" s="16" t="s">
        <v>2254</v>
      </c>
      <c r="R985" s="17" t="s">
        <v>2255</v>
      </c>
      <c r="S985" s="14" t="s">
        <v>2256</v>
      </c>
      <c r="T985" s="11"/>
      <c r="U985" s="10" t="str">
        <f>HYPERLINK("https://pbs.twimg.com/profile_images/902306188565598212/2mb5tt72.jpg","View")</f>
        <v>View</v>
      </c>
    </row>
    <row r="986" spans="1:21" ht="61.2">
      <c r="A986" s="6">
        <v>43426.169340277775</v>
      </c>
      <c r="B986" s="7" t="str">
        <f>HYPERLINK("https://twitter.com/Alberto_deJesus","@Alberto_deJesus")</f>
        <v>@Alberto_deJesus</v>
      </c>
      <c r="C986" s="8" t="s">
        <v>2257</v>
      </c>
      <c r="D986" s="9" t="s">
        <v>2258</v>
      </c>
      <c r="E986" s="10" t="str">
        <f>HYPERLINK("https://twitter.com/Alberto_deJesus/status/1065576592875954176","1065576592875954176")</f>
        <v>1065576592875954176</v>
      </c>
      <c r="F986" s="16" t="s">
        <v>2261</v>
      </c>
      <c r="G986" s="11"/>
      <c r="H986" s="11"/>
      <c r="I986" s="12">
        <v>1</v>
      </c>
      <c r="J986" s="12">
        <v>0</v>
      </c>
      <c r="K986" s="13" t="str">
        <f>HYPERLINK("http://twitter.com","Twitter Web Client")</f>
        <v>Twitter Web Client</v>
      </c>
      <c r="L986" s="12">
        <v>1072</v>
      </c>
      <c r="M986" s="12">
        <v>2042</v>
      </c>
      <c r="N986" s="12">
        <v>13</v>
      </c>
      <c r="O986" s="15"/>
      <c r="P986" s="6">
        <v>40577.440011574072</v>
      </c>
      <c r="Q986" s="11"/>
      <c r="R986" s="17" t="s">
        <v>2262</v>
      </c>
      <c r="S986" s="11"/>
      <c r="T986" s="11"/>
      <c r="U986" s="10" t="str">
        <f>HYPERLINK("https://pbs.twimg.com/profile_images/951506738431348737/6cR4Ai9G.jpg","View")</f>
        <v>View</v>
      </c>
    </row>
    <row r="987" spans="1:21" ht="51">
      <c r="A987" s="6">
        <v>43426.168043981481</v>
      </c>
      <c r="B987" s="7" t="str">
        <f>HYPERLINK("https://twitter.com/PODEMOS9bb","@PODEMOS9bb")</f>
        <v>@PODEMOS9bb</v>
      </c>
      <c r="C987" s="8" t="s">
        <v>76</v>
      </c>
      <c r="D987" s="9" t="s">
        <v>78</v>
      </c>
      <c r="E987" s="10" t="str">
        <f>HYPERLINK("https://twitter.com/PODEMOS9bb/status/1065576121285136386","1065576121285136386")</f>
        <v>1065576121285136386</v>
      </c>
      <c r="F987" s="14" t="s">
        <v>79</v>
      </c>
      <c r="G987" s="11"/>
      <c r="H987" s="11"/>
      <c r="I987" s="12">
        <v>0</v>
      </c>
      <c r="J987" s="12">
        <v>0</v>
      </c>
      <c r="K987" s="13" t="str">
        <f>HYPERLINK("http://twitter.com/download/android","Twitter for Android")</f>
        <v>Twitter for Android</v>
      </c>
      <c r="L987" s="12">
        <v>1011</v>
      </c>
      <c r="M987" s="12">
        <v>743</v>
      </c>
      <c r="N987" s="12">
        <v>21</v>
      </c>
      <c r="O987" s="15"/>
      <c r="P987" s="6">
        <v>41823.484189814815</v>
      </c>
      <c r="Q987" s="16" t="s">
        <v>81</v>
      </c>
      <c r="R987" s="17" t="s">
        <v>82</v>
      </c>
      <c r="S987" s="14" t="s">
        <v>83</v>
      </c>
      <c r="T987" s="11"/>
      <c r="U987" s="10" t="str">
        <f>HYPERLINK("https://pbs.twimg.com/profile_images/800706923624599553/uEv6g1PQ.jpg","View")</f>
        <v>View</v>
      </c>
    </row>
    <row r="988" spans="1:21" ht="13.2">
      <c r="A988" s="6">
        <v>43426.168020833335</v>
      </c>
      <c r="B988" s="7" t="str">
        <f>HYPERLINK("https://twitter.com/Cubano57676132","@Cubano57676132")</f>
        <v>@Cubano57676132</v>
      </c>
      <c r="C988" s="8" t="s">
        <v>5762</v>
      </c>
      <c r="D988" s="9" t="s">
        <v>5763</v>
      </c>
      <c r="E988" s="10" t="str">
        <f>HYPERLINK("https://twitter.com/Cubano57676132/status/1065576114985287681","1065576114985287681")</f>
        <v>1065576114985287681</v>
      </c>
      <c r="F988" s="14" t="s">
        <v>5764</v>
      </c>
      <c r="G988" s="11"/>
      <c r="H988" s="11"/>
      <c r="I988" s="12">
        <v>0</v>
      </c>
      <c r="J988" s="12">
        <v>0</v>
      </c>
      <c r="K988" s="13" t="str">
        <f>HYPERLINK("http://twitter.com/download/iphone","Twitter for iPhone")</f>
        <v>Twitter for iPhone</v>
      </c>
      <c r="L988" s="12">
        <v>34</v>
      </c>
      <c r="M988" s="12">
        <v>82</v>
      </c>
      <c r="N988" s="12">
        <v>0</v>
      </c>
      <c r="O988" s="15"/>
      <c r="P988" s="6">
        <v>43128.135648148149</v>
      </c>
      <c r="Q988" s="16" t="s">
        <v>5765</v>
      </c>
      <c r="R988" s="17" t="s">
        <v>5766</v>
      </c>
      <c r="S988" s="11"/>
      <c r="T988" s="11"/>
      <c r="U988" s="10" t="str">
        <f>HYPERLINK("https://pbs.twimg.com/profile_images/957603332218085377/SYhZg5y_.jpg","View")</f>
        <v>View</v>
      </c>
    </row>
    <row r="989" spans="1:21" ht="20.399999999999999">
      <c r="A989" s="6">
        <v>43426.167118055557</v>
      </c>
      <c r="B989" s="7" t="str">
        <f>HYPERLINK("https://twitter.com/PacienciaAras","@PacienciaAras")</f>
        <v>@PacienciaAras</v>
      </c>
      <c r="C989" s="8" t="s">
        <v>5767</v>
      </c>
      <c r="D989" s="9" t="s">
        <v>5768</v>
      </c>
      <c r="E989" s="10" t="str">
        <f>HYPERLINK("https://twitter.com/PacienciaAras/status/1065575787930284034","1065575787930284034")</f>
        <v>1065575787930284034</v>
      </c>
      <c r="F989" s="14" t="s">
        <v>5770</v>
      </c>
      <c r="G989" s="11"/>
      <c r="H989" s="11"/>
      <c r="I989" s="12">
        <v>0</v>
      </c>
      <c r="J989" s="12">
        <v>0</v>
      </c>
      <c r="K989" s="13" t="str">
        <f>HYPERLINK("https://www.tumblr.com/","Tumblr")</f>
        <v>Tumblr</v>
      </c>
      <c r="L989" s="12">
        <v>17</v>
      </c>
      <c r="M989" s="12">
        <v>41</v>
      </c>
      <c r="N989" s="12">
        <v>0</v>
      </c>
      <c r="O989" s="15"/>
      <c r="P989" s="6">
        <v>41773.333472222221</v>
      </c>
      <c r="Q989" s="11"/>
      <c r="R989" s="17" t="s">
        <v>5771</v>
      </c>
      <c r="S989" s="14" t="s">
        <v>5772</v>
      </c>
      <c r="T989" s="11"/>
      <c r="U989" s="10" t="str">
        <f>HYPERLINK("https://pbs.twimg.com/profile_images/466596873558446081/1HHQjVKc.jpeg","View")</f>
        <v>View</v>
      </c>
    </row>
    <row r="990" spans="1:21" ht="40.799999999999997">
      <c r="A990" s="6">
        <v>43426.167083333334</v>
      </c>
      <c r="B990" s="7" t="str">
        <f>HYPERLINK("https://twitter.com/PodemosAlmonte","@PodemosAlmonte")</f>
        <v>@PodemosAlmonte</v>
      </c>
      <c r="C990" s="8" t="s">
        <v>5773</v>
      </c>
      <c r="D990" s="9" t="s">
        <v>5774</v>
      </c>
      <c r="E990" s="10" t="str">
        <f>HYPERLINK("https://twitter.com/PodemosAlmonte/status/1065575773724131328","1065575773724131328")</f>
        <v>1065575773724131328</v>
      </c>
      <c r="F990" s="14" t="s">
        <v>96</v>
      </c>
      <c r="G990" s="14" t="s">
        <v>5775</v>
      </c>
      <c r="H990" s="11"/>
      <c r="I990" s="12">
        <v>1</v>
      </c>
      <c r="J990" s="12">
        <v>2</v>
      </c>
      <c r="K990" s="13" t="str">
        <f>HYPERLINK("http://twitter.com/download/android","Twitter for Android")</f>
        <v>Twitter for Android</v>
      </c>
      <c r="L990" s="12">
        <v>520</v>
      </c>
      <c r="M990" s="12">
        <v>216</v>
      </c>
      <c r="N990" s="12">
        <v>14</v>
      </c>
      <c r="O990" s="15"/>
      <c r="P990" s="6">
        <v>41425.637499999997</v>
      </c>
      <c r="Q990" s="16" t="s">
        <v>5776</v>
      </c>
      <c r="R990" s="17" t="s">
        <v>5777</v>
      </c>
      <c r="S990" s="11"/>
      <c r="T990" s="11"/>
      <c r="U990" s="10" t="str">
        <f>HYPERLINK("https://pbs.twimg.com/profile_images/839741654135341056/cXAkiMIV.jpg","View")</f>
        <v>View</v>
      </c>
    </row>
    <row r="991" spans="1:21" ht="30.6">
      <c r="A991" s="6">
        <v>43426.166979166665</v>
      </c>
      <c r="B991" s="7" t="str">
        <f>HYPERLINK("https://twitter.com/alexlifepink","@alexlifepink")</f>
        <v>@alexlifepink</v>
      </c>
      <c r="C991" s="8" t="s">
        <v>5778</v>
      </c>
      <c r="D991" s="9" t="s">
        <v>5779</v>
      </c>
      <c r="E991" s="10" t="str">
        <f>HYPERLINK("https://twitter.com/alexlifepink/status/1065575736579420161","1065575736579420161")</f>
        <v>1065575736579420161</v>
      </c>
      <c r="F991" s="14" t="s">
        <v>5780</v>
      </c>
      <c r="G991" s="11"/>
      <c r="H991" s="11"/>
      <c r="I991" s="12">
        <v>0</v>
      </c>
      <c r="J991" s="12">
        <v>0</v>
      </c>
      <c r="K991" s="13" t="str">
        <f>HYPERLINK("https://www.google.com/","Google")</f>
        <v>Google</v>
      </c>
      <c r="L991" s="12">
        <v>1896</v>
      </c>
      <c r="M991" s="12">
        <v>2843</v>
      </c>
      <c r="N991" s="12">
        <v>28</v>
      </c>
      <c r="O991" s="15"/>
      <c r="P991" s="6">
        <v>40553.350555555553</v>
      </c>
      <c r="Q991" s="16" t="s">
        <v>407</v>
      </c>
      <c r="R991" s="17" t="s">
        <v>5781</v>
      </c>
      <c r="S991" s="14" t="s">
        <v>5782</v>
      </c>
      <c r="T991" s="11"/>
      <c r="U991" s="10" t="str">
        <f>HYPERLINK("https://pbs.twimg.com/profile_images/1052516923655647233/NMPdVnft.jpg","View")</f>
        <v>View</v>
      </c>
    </row>
    <row r="992" spans="1:21" ht="30.6">
      <c r="A992" s="6">
        <v>43426.166574074072</v>
      </c>
      <c r="B992" s="7" t="str">
        <f>HYPERLINK("https://twitter.com/gabrielregino","@gabrielregino")</f>
        <v>@gabrielregino</v>
      </c>
      <c r="C992" s="8" t="s">
        <v>5783</v>
      </c>
      <c r="D992" s="9" t="s">
        <v>5784</v>
      </c>
      <c r="E992" s="10" t="str">
        <f>HYPERLINK("https://twitter.com/gabrielregino/status/1065575590340714497","1065575590340714497")</f>
        <v>1065575590340714497</v>
      </c>
      <c r="F992" s="14" t="s">
        <v>529</v>
      </c>
      <c r="G992" s="11"/>
      <c r="H992" s="11"/>
      <c r="I992" s="12">
        <v>0</v>
      </c>
      <c r="J992" s="12">
        <v>1</v>
      </c>
      <c r="K992" s="13" t="str">
        <f>HYPERLINK("http://twitter.com/#!/download/ipad","Twitter for iPad")</f>
        <v>Twitter for iPad</v>
      </c>
      <c r="L992" s="12">
        <v>27043</v>
      </c>
      <c r="M992" s="12">
        <v>9802</v>
      </c>
      <c r="N992" s="12">
        <v>721</v>
      </c>
      <c r="O992" s="15"/>
      <c r="P992" s="6">
        <v>39920.377858796295</v>
      </c>
      <c r="Q992" s="16" t="s">
        <v>5785</v>
      </c>
      <c r="R992" s="17" t="s">
        <v>5786</v>
      </c>
      <c r="S992" s="14" t="s">
        <v>5787</v>
      </c>
      <c r="T992" s="11"/>
      <c r="U992" s="10" t="str">
        <f>HYPERLINK("https://pbs.twimg.com/profile_images/1065568630073548800/FXxhwUez.jpg","View")</f>
        <v>View</v>
      </c>
    </row>
    <row r="993" spans="1:21" ht="51">
      <c r="A993" s="6">
        <v>43426.165763888886</v>
      </c>
      <c r="B993" s="7" t="str">
        <f>HYPERLINK("https://twitter.com/Adry482","@Adry482")</f>
        <v>@Adry482</v>
      </c>
      <c r="C993" s="8" t="s">
        <v>5788</v>
      </c>
      <c r="D993" s="9" t="s">
        <v>5789</v>
      </c>
      <c r="E993" s="10" t="str">
        <f>HYPERLINK("https://twitter.com/Adry482/status/1065575294738800641","1065575294738800641")</f>
        <v>1065575294738800641</v>
      </c>
      <c r="F993" s="11"/>
      <c r="G993" s="11"/>
      <c r="H993" s="11"/>
      <c r="I993" s="12">
        <v>0</v>
      </c>
      <c r="J993" s="12">
        <v>0</v>
      </c>
      <c r="K993" s="13" t="str">
        <f>HYPERLINK("http://twitter.com/download/android","Twitter for Android")</f>
        <v>Twitter for Android</v>
      </c>
      <c r="L993" s="12">
        <v>81</v>
      </c>
      <c r="M993" s="12">
        <v>304</v>
      </c>
      <c r="N993" s="12">
        <v>0</v>
      </c>
      <c r="O993" s="15"/>
      <c r="P993" s="6">
        <v>42562.212870370371</v>
      </c>
      <c r="Q993" s="16" t="s">
        <v>5790</v>
      </c>
      <c r="R993" s="17" t="s">
        <v>5791</v>
      </c>
      <c r="S993" s="11"/>
      <c r="T993" s="11"/>
      <c r="U993" s="10" t="str">
        <f>HYPERLINK("https://pbs.twimg.com/profile_images/1059167795508850689/zQZBbASE.jpg","View")</f>
        <v>View</v>
      </c>
    </row>
    <row r="994" spans="1:21" ht="13.2">
      <c r="A994" s="6">
        <v>43426.165335648147</v>
      </c>
      <c r="B994" s="7" t="str">
        <f>HYPERLINK("https://twitter.com/AndresArau","@AndresArau")</f>
        <v>@AndresArau</v>
      </c>
      <c r="C994" s="8" t="s">
        <v>2265</v>
      </c>
      <c r="D994" s="9" t="s">
        <v>2266</v>
      </c>
      <c r="E994" s="10" t="str">
        <f>HYPERLINK("https://twitter.com/AndresArau/status/1065575139272769538","1065575139272769538")</f>
        <v>1065575139272769538</v>
      </c>
      <c r="F994" s="11"/>
      <c r="G994" s="14" t="s">
        <v>2267</v>
      </c>
      <c r="H994" s="11"/>
      <c r="I994" s="12">
        <v>0</v>
      </c>
      <c r="J994" s="12">
        <v>1</v>
      </c>
      <c r="K994" s="13" t="str">
        <f t="shared" ref="K994:K995" si="204">HYPERLINK("http://twitter.com","Twitter Web Client")</f>
        <v>Twitter Web Client</v>
      </c>
      <c r="L994" s="12">
        <v>819</v>
      </c>
      <c r="M994" s="12">
        <v>424</v>
      </c>
      <c r="N994" s="12">
        <v>5</v>
      </c>
      <c r="O994" s="15"/>
      <c r="P994" s="6">
        <v>40111.776365740741</v>
      </c>
      <c r="Q994" s="16" t="s">
        <v>2268</v>
      </c>
      <c r="R994" s="19"/>
      <c r="S994" s="11"/>
      <c r="T994" s="11"/>
      <c r="U994" s="10" t="str">
        <f>HYPERLINK("https://pbs.twimg.com/profile_images/1979136339/image.jpg","View")</f>
        <v>View</v>
      </c>
    </row>
    <row r="995" spans="1:21" ht="71.400000000000006">
      <c r="A995" s="6">
        <v>43426.165150462963</v>
      </c>
      <c r="B995" s="7" t="str">
        <f>HYPERLINK("https://twitter.com/Juntaletras","@Juntaletras")</f>
        <v>@Juntaletras</v>
      </c>
      <c r="C995" s="8" t="s">
        <v>5792</v>
      </c>
      <c r="D995" s="9" t="s">
        <v>5793</v>
      </c>
      <c r="E995" s="10" t="str">
        <f>HYPERLINK("https://twitter.com/Juntaletras/status/1065575071375400960","1065575071375400960")</f>
        <v>1065575071375400960</v>
      </c>
      <c r="F995" s="16" t="s">
        <v>5794</v>
      </c>
      <c r="G995" s="11"/>
      <c r="H995" s="11"/>
      <c r="I995" s="12">
        <v>0</v>
      </c>
      <c r="J995" s="12">
        <v>0</v>
      </c>
      <c r="K995" s="13" t="str">
        <f t="shared" si="204"/>
        <v>Twitter Web Client</v>
      </c>
      <c r="L995" s="12">
        <v>697</v>
      </c>
      <c r="M995" s="12">
        <v>2392</v>
      </c>
      <c r="N995" s="12">
        <v>21</v>
      </c>
      <c r="O995" s="15"/>
      <c r="P995" s="6">
        <v>39663.999803240738</v>
      </c>
      <c r="Q995" s="16" t="s">
        <v>5795</v>
      </c>
      <c r="R995" s="17" t="s">
        <v>5796</v>
      </c>
      <c r="S995" s="11"/>
      <c r="T995" s="11"/>
      <c r="U995" s="10" t="str">
        <f>HYPERLINK("https://pbs.twimg.com/profile_images/559724553065086978/__zhh1_6.jpeg","View")</f>
        <v>View</v>
      </c>
    </row>
    <row r="996" spans="1:21" ht="51">
      <c r="A996" s="6">
        <v>43426.163344907407</v>
      </c>
      <c r="B996" s="7" t="str">
        <f>HYPERLINK("https://twitter.com/Elisabobergpast","@Elisabobergpast")</f>
        <v>@Elisabobergpast</v>
      </c>
      <c r="C996" s="8" t="s">
        <v>2269</v>
      </c>
      <c r="D996" s="9" t="s">
        <v>2270</v>
      </c>
      <c r="E996" s="10" t="str">
        <f>HYPERLINK("https://twitter.com/Elisabobergpast/status/1065574419471450113","1065574419471450113")</f>
        <v>1065574419471450113</v>
      </c>
      <c r="F996" s="14" t="s">
        <v>2272</v>
      </c>
      <c r="G996" s="11"/>
      <c r="H996" s="11"/>
      <c r="I996" s="12">
        <v>0</v>
      </c>
      <c r="J996" s="12">
        <v>2</v>
      </c>
      <c r="K996" s="13" t="str">
        <f>HYPERLINK("http://twitter.com/download/android","Twitter for Android")</f>
        <v>Twitter for Android</v>
      </c>
      <c r="L996" s="12">
        <v>747</v>
      </c>
      <c r="M996" s="12">
        <v>1028</v>
      </c>
      <c r="N996" s="12">
        <v>9</v>
      </c>
      <c r="O996" s="15"/>
      <c r="P996" s="6">
        <v>40562.433148148149</v>
      </c>
      <c r="Q996" s="16" t="s">
        <v>87</v>
      </c>
      <c r="R996" s="17" t="s">
        <v>2274</v>
      </c>
      <c r="S996" s="11"/>
      <c r="T996" s="11"/>
      <c r="U996" s="10" t="str">
        <f>HYPERLINK("https://pbs.twimg.com/profile_images/735451342622318592/2vRRBAwf.jpg","View")</f>
        <v>View</v>
      </c>
    </row>
    <row r="997" spans="1:21" ht="20.399999999999999">
      <c r="A997" s="6">
        <v>43426.162037037036</v>
      </c>
      <c r="B997" s="7" t="str">
        <f>HYPERLINK("https://twitter.com/fesi36","@fesi36")</f>
        <v>@fesi36</v>
      </c>
      <c r="C997" s="8" t="s">
        <v>5797</v>
      </c>
      <c r="D997" s="9" t="s">
        <v>5798</v>
      </c>
      <c r="E997" s="10" t="str">
        <f>HYPERLINK("https://twitter.com/fesi36/status/1065573945519292416","1065573945519292416")</f>
        <v>1065573945519292416</v>
      </c>
      <c r="F997" s="14" t="s">
        <v>529</v>
      </c>
      <c r="G997" s="11"/>
      <c r="H997" s="11"/>
      <c r="I997" s="12">
        <v>0</v>
      </c>
      <c r="J997" s="12">
        <v>0</v>
      </c>
      <c r="K997" s="13" t="str">
        <f>HYPERLINK("http://twitter.com","Twitter Web Client")</f>
        <v>Twitter Web Client</v>
      </c>
      <c r="L997" s="12">
        <v>240</v>
      </c>
      <c r="M997" s="12">
        <v>133</v>
      </c>
      <c r="N997" s="12">
        <v>67</v>
      </c>
      <c r="O997" s="15"/>
      <c r="P997" s="6">
        <v>40432.447812500002</v>
      </c>
      <c r="Q997" s="11"/>
      <c r="R997" s="17" t="s">
        <v>5799</v>
      </c>
      <c r="S997" s="14" t="s">
        <v>5800</v>
      </c>
      <c r="T997" s="11"/>
      <c r="U997" s="10" t="str">
        <f>HYPERLINK("https://pbs.twimg.com/profile_images/1011915125790568448/i--_8P_3.jpg","View")</f>
        <v>View</v>
      </c>
    </row>
    <row r="998" spans="1:21" ht="51">
      <c r="A998" s="6">
        <v>43426.161354166667</v>
      </c>
      <c r="B998" s="7" t="str">
        <f>HYPERLINK("https://twitter.com/RamonEspinar","@RamonEspinar")</f>
        <v>@RamonEspinar</v>
      </c>
      <c r="C998" s="8" t="s">
        <v>2275</v>
      </c>
      <c r="D998" s="9" t="s">
        <v>2276</v>
      </c>
      <c r="E998" s="10" t="str">
        <f>HYPERLINK("https://twitter.com/RamonEspinar/status/1065573695551414273","1065573695551414273")</f>
        <v>1065573695551414273</v>
      </c>
      <c r="F998" s="14" t="s">
        <v>96</v>
      </c>
      <c r="G998" s="11"/>
      <c r="H998" s="11"/>
      <c r="I998" s="12">
        <v>105</v>
      </c>
      <c r="J998" s="12">
        <v>166</v>
      </c>
      <c r="K998" s="13" t="str">
        <f>HYPERLINK("http://twitter.com/download/iphone","Twitter for iPhone")</f>
        <v>Twitter for iPhone</v>
      </c>
      <c r="L998" s="12">
        <v>120715</v>
      </c>
      <c r="M998" s="12">
        <v>860</v>
      </c>
      <c r="N998" s="12">
        <v>802</v>
      </c>
      <c r="O998" s="18" t="s">
        <v>52</v>
      </c>
      <c r="P998" s="6">
        <v>40835.563923611109</v>
      </c>
      <c r="Q998" s="16" t="s">
        <v>38</v>
      </c>
      <c r="R998" s="17" t="s">
        <v>2279</v>
      </c>
      <c r="S998" s="14" t="s">
        <v>2280</v>
      </c>
      <c r="T998" s="11"/>
      <c r="U998" s="10" t="str">
        <f>HYPERLINK("https://pbs.twimg.com/profile_images/911220109691277312/p7BqAHFs.jpg","View")</f>
        <v>View</v>
      </c>
    </row>
    <row r="999" spans="1:21" ht="91.8">
      <c r="A999" s="6">
        <v>43426.160462962958</v>
      </c>
      <c r="B999" s="7" t="str">
        <f>HYPERLINK("https://twitter.com/AliciaTierno","@AliciaTierno")</f>
        <v>@AliciaTierno</v>
      </c>
      <c r="C999" s="8" t="s">
        <v>5801</v>
      </c>
      <c r="D999" s="9" t="s">
        <v>5802</v>
      </c>
      <c r="E999" s="10" t="str">
        <f>HYPERLINK("https://twitter.com/AliciaTierno/status/1065573373584044032","1065573373584044032")</f>
        <v>1065573373584044032</v>
      </c>
      <c r="F999" s="14" t="s">
        <v>5803</v>
      </c>
      <c r="G999" s="14" t="s">
        <v>5804</v>
      </c>
      <c r="H999" s="11"/>
      <c r="I999" s="12">
        <v>0</v>
      </c>
      <c r="J999" s="12">
        <v>0</v>
      </c>
      <c r="K999" s="13" t="str">
        <f>HYPERLINK("http://twitter.com/download/android","Twitter for Android")</f>
        <v>Twitter for Android</v>
      </c>
      <c r="L999" s="12">
        <v>92</v>
      </c>
      <c r="M999" s="12">
        <v>10</v>
      </c>
      <c r="N999" s="12">
        <v>0</v>
      </c>
      <c r="O999" s="15"/>
      <c r="P999" s="6">
        <v>42483.451701388884</v>
      </c>
      <c r="Q999" s="16" t="s">
        <v>822</v>
      </c>
      <c r="R999" s="19"/>
      <c r="S999" s="11"/>
      <c r="T999" s="11"/>
      <c r="U999" s="10" t="str">
        <f>HYPERLINK("https://pbs.twimg.com/profile_images/753980564194074624/YlybRBVs.jpg","View")</f>
        <v>View</v>
      </c>
    </row>
    <row r="1000" spans="1:21" ht="30.6">
      <c r="A1000" s="6">
        <v>43426.159699074073</v>
      </c>
      <c r="B1000" s="7" t="str">
        <f>HYPERLINK("https://twitter.com/JuanmaofArcos","@JuanmaofArcos")</f>
        <v>@JuanmaofArcos</v>
      </c>
      <c r="C1000" s="8" t="s">
        <v>5805</v>
      </c>
      <c r="D1000" s="9" t="s">
        <v>3304</v>
      </c>
      <c r="E1000" s="10" t="str">
        <f>HYPERLINK("https://twitter.com/JuanmaofArcos/status/1065573096323727367","1065573096323727367")</f>
        <v>1065573096323727367</v>
      </c>
      <c r="F1000" s="11"/>
      <c r="G1000" s="11"/>
      <c r="H1000" s="11"/>
      <c r="I1000" s="12">
        <v>7</v>
      </c>
      <c r="J1000" s="12">
        <v>12</v>
      </c>
      <c r="K1000" s="13" t="str">
        <f>HYPERLINK("http://twitter.com/download/iphone","Twitter for iPhone")</f>
        <v>Twitter for iPhone</v>
      </c>
      <c r="L1000" s="12">
        <v>1648</v>
      </c>
      <c r="M1000" s="12">
        <v>509</v>
      </c>
      <c r="N1000" s="12">
        <v>50</v>
      </c>
      <c r="O1000" s="15"/>
      <c r="P1000" s="6">
        <v>40959.284942129627</v>
      </c>
      <c r="Q1000" s="16" t="s">
        <v>5806</v>
      </c>
      <c r="R1000" s="17" t="s">
        <v>5807</v>
      </c>
      <c r="S1000" s="14" t="s">
        <v>5808</v>
      </c>
      <c r="T1000" s="11"/>
      <c r="U1000" s="10" t="str">
        <f>HYPERLINK("https://pbs.twimg.com/profile_images/1046186290692132864/B4vDUPDC.jpg","View")</f>
        <v>View</v>
      </c>
    </row>
    <row r="1001" spans="1:21" ht="51">
      <c r="A1001" s="6">
        <v>43426.159560185188</v>
      </c>
      <c r="B1001" s="7" t="str">
        <f>HYPERLINK("https://twitter.com/alber_tic","@alber_tic")</f>
        <v>@alber_tic</v>
      </c>
      <c r="C1001" s="8" t="s">
        <v>2281</v>
      </c>
      <c r="D1001" s="9" t="s">
        <v>2283</v>
      </c>
      <c r="E1001" s="10" t="str">
        <f>HYPERLINK("https://twitter.com/alber_tic/status/1065573045753061378","1065573045753061378")</f>
        <v>1065573045753061378</v>
      </c>
      <c r="F1001" s="14" t="s">
        <v>96</v>
      </c>
      <c r="G1001" s="11"/>
      <c r="H1001" s="11"/>
      <c r="I1001" s="12">
        <v>1</v>
      </c>
      <c r="J1001" s="12">
        <v>0</v>
      </c>
      <c r="K1001" s="13" t="str">
        <f t="shared" ref="K1001:K1002" si="205">HYPERLINK("http://twitter.com/download/android","Twitter for Android")</f>
        <v>Twitter for Android</v>
      </c>
      <c r="L1001" s="12">
        <v>3025</v>
      </c>
      <c r="M1001" s="12">
        <v>2662</v>
      </c>
      <c r="N1001" s="12">
        <v>34</v>
      </c>
      <c r="O1001" s="15"/>
      <c r="P1001" s="6">
        <v>41736.668912037036</v>
      </c>
      <c r="Q1001" s="11"/>
      <c r="R1001" s="17" t="s">
        <v>2285</v>
      </c>
      <c r="S1001" s="11"/>
      <c r="T1001" s="11"/>
      <c r="U1001" s="10" t="str">
        <f>HYPERLINK("https://pbs.twimg.com/profile_images/1005935256334024705/tt22N3wx.jpg","View")</f>
        <v>View</v>
      </c>
    </row>
    <row r="1002" spans="1:21" ht="40.799999999999997">
      <c r="A1002" s="6">
        <v>43426.158831018518</v>
      </c>
      <c r="B1002" s="7" t="str">
        <f>HYPERLINK("https://twitter.com/javicuestam","@javicuestam")</f>
        <v>@javicuestam</v>
      </c>
      <c r="C1002" s="8" t="s">
        <v>2286</v>
      </c>
      <c r="D1002" s="9" t="s">
        <v>2287</v>
      </c>
      <c r="E1002" s="10" t="str">
        <f>HYPERLINK("https://twitter.com/javicuestam/status/1065572784754081792","1065572784754081792")</f>
        <v>1065572784754081792</v>
      </c>
      <c r="F1002" s="11"/>
      <c r="G1002" s="14" t="s">
        <v>2288</v>
      </c>
      <c r="H1002" s="11"/>
      <c r="I1002" s="12">
        <v>0</v>
      </c>
      <c r="J1002" s="12">
        <v>0</v>
      </c>
      <c r="K1002" s="13" t="str">
        <f t="shared" si="205"/>
        <v>Twitter for Android</v>
      </c>
      <c r="L1002" s="12">
        <v>144</v>
      </c>
      <c r="M1002" s="12">
        <v>466</v>
      </c>
      <c r="N1002" s="12">
        <v>0</v>
      </c>
      <c r="O1002" s="15"/>
      <c r="P1002" s="6">
        <v>43074.640740740739</v>
      </c>
      <c r="Q1002" s="16" t="s">
        <v>87</v>
      </c>
      <c r="R1002" s="17" t="s">
        <v>2289</v>
      </c>
      <c r="S1002" s="11"/>
      <c r="T1002" s="11"/>
      <c r="U1002" s="10" t="str">
        <f>HYPERLINK("https://pbs.twimg.com/profile_images/1062633891448713218/htz75Hh5.jpg","View")</f>
        <v>View</v>
      </c>
    </row>
    <row r="1003" spans="1:21" ht="40.799999999999997">
      <c r="A1003" s="6">
        <v>43426.158703703702</v>
      </c>
      <c r="B1003" s="7" t="str">
        <f>HYPERLINK("https://twitter.com/jaimeiribarren","@jaimeiribarren")</f>
        <v>@jaimeiribarren</v>
      </c>
      <c r="C1003" s="8" t="s">
        <v>5809</v>
      </c>
      <c r="D1003" s="9" t="s">
        <v>5810</v>
      </c>
      <c r="E1003" s="10" t="str">
        <f>HYPERLINK("https://twitter.com/jaimeiribarren/status/1065572737341693952","1065572737341693952")</f>
        <v>1065572737341693952</v>
      </c>
      <c r="F1003" s="14" t="s">
        <v>529</v>
      </c>
      <c r="G1003" s="11"/>
      <c r="H1003" s="11"/>
      <c r="I1003" s="12">
        <v>1</v>
      </c>
      <c r="J1003" s="12">
        <v>1</v>
      </c>
      <c r="K1003" s="13" t="str">
        <f>HYPERLINK("http://twitter.com","Twitter Web Client")</f>
        <v>Twitter Web Client</v>
      </c>
      <c r="L1003" s="12">
        <v>1382</v>
      </c>
      <c r="M1003" s="12">
        <v>378</v>
      </c>
      <c r="N1003" s="12">
        <v>27</v>
      </c>
      <c r="O1003" s="15"/>
      <c r="P1003" s="6">
        <v>40124.382349537038</v>
      </c>
      <c r="Q1003" s="16" t="s">
        <v>3819</v>
      </c>
      <c r="R1003" s="17" t="s">
        <v>5811</v>
      </c>
      <c r="S1003" s="11"/>
      <c r="T1003" s="11"/>
      <c r="U1003" s="10" t="str">
        <f>HYPERLINK("https://pbs.twimg.com/profile_images/1065716750292058112/qPbfXVQ_.jpg","View")</f>
        <v>View</v>
      </c>
    </row>
    <row r="1004" spans="1:21" ht="30.6">
      <c r="A1004" s="6">
        <v>43426.158310185187</v>
      </c>
      <c r="B1004" s="7" t="str">
        <f>HYPERLINK("https://twitter.com/zoy_garci","@zoy_garci")</f>
        <v>@zoy_garci</v>
      </c>
      <c r="C1004" s="8" t="s">
        <v>5812</v>
      </c>
      <c r="D1004" s="9" t="s">
        <v>3304</v>
      </c>
      <c r="E1004" s="10" t="str">
        <f>HYPERLINK("https://twitter.com/zoy_garci/status/1065572593007280128","1065572593007280128")</f>
        <v>1065572593007280128</v>
      </c>
      <c r="F1004" s="11"/>
      <c r="G1004" s="11"/>
      <c r="H1004" s="11"/>
      <c r="I1004" s="12">
        <v>0</v>
      </c>
      <c r="J1004" s="12">
        <v>1</v>
      </c>
      <c r="K1004" s="13" t="str">
        <f>HYPERLINK("http://twitter.com/download/android","Twitter for Android")</f>
        <v>Twitter for Android</v>
      </c>
      <c r="L1004" s="12">
        <v>148</v>
      </c>
      <c r="M1004" s="12">
        <v>581</v>
      </c>
      <c r="N1004" s="12">
        <v>0</v>
      </c>
      <c r="O1004" s="15"/>
      <c r="P1004" s="6">
        <v>42495.379745370374</v>
      </c>
      <c r="Q1004" s="16" t="s">
        <v>5734</v>
      </c>
      <c r="R1004" s="17" t="s">
        <v>5813</v>
      </c>
      <c r="S1004" s="14" t="s">
        <v>5814</v>
      </c>
      <c r="T1004" s="11"/>
      <c r="U1004" s="10" t="str">
        <f>HYPERLINK("https://pbs.twimg.com/profile_images/1064569919554154498/TWToN8LD.jpg","View")</f>
        <v>View</v>
      </c>
    </row>
    <row r="1005" spans="1:21" ht="30.6">
      <c r="A1005" s="6">
        <v>43426.157870370371</v>
      </c>
      <c r="B1005" s="7" t="str">
        <f>HYPERLINK("https://twitter.com/bogavantemio","@bogavantemio")</f>
        <v>@bogavantemio</v>
      </c>
      <c r="C1005" s="8" t="s">
        <v>2290</v>
      </c>
      <c r="D1005" s="9" t="s">
        <v>2291</v>
      </c>
      <c r="E1005" s="10" t="str">
        <f>HYPERLINK("https://twitter.com/bogavantemio/status/1065572435519578112","1065572435519578112")</f>
        <v>1065572435519578112</v>
      </c>
      <c r="F1005" s="11"/>
      <c r="G1005" s="14" t="s">
        <v>2294</v>
      </c>
      <c r="H1005" s="11"/>
      <c r="I1005" s="12">
        <v>0</v>
      </c>
      <c r="J1005" s="12">
        <v>3</v>
      </c>
      <c r="K1005" s="13" t="str">
        <f>HYPERLINK("http://twitter.com/download/iphone","Twitter for iPhone")</f>
        <v>Twitter for iPhone</v>
      </c>
      <c r="L1005" s="12">
        <v>384</v>
      </c>
      <c r="M1005" s="12">
        <v>787</v>
      </c>
      <c r="N1005" s="12">
        <v>23</v>
      </c>
      <c r="O1005" s="15"/>
      <c r="P1005" s="6">
        <v>40639.084733796299</v>
      </c>
      <c r="Q1005" s="11"/>
      <c r="R1005" s="19"/>
      <c r="S1005" s="11"/>
      <c r="T1005" s="11"/>
      <c r="U1005" s="10" t="str">
        <f>HYPERLINK("https://pbs.twimg.com/profile_images/978357359515971591/zsWJJb3W.jpg","View")</f>
        <v>View</v>
      </c>
    </row>
    <row r="1006" spans="1:21" ht="40.799999999999997">
      <c r="A1006" s="6">
        <v>43426.157407407409</v>
      </c>
      <c r="B1006" s="7" t="str">
        <f>HYPERLINK("https://twitter.com/ruben_prz","@ruben_prz")</f>
        <v>@ruben_prz</v>
      </c>
      <c r="C1006" s="8" t="s">
        <v>5815</v>
      </c>
      <c r="D1006" s="9" t="s">
        <v>5816</v>
      </c>
      <c r="E1006" s="10" t="str">
        <f>HYPERLINK("https://twitter.com/ruben_prz/status/1065572268468776960","1065572268468776960")</f>
        <v>1065572268468776960</v>
      </c>
      <c r="F1006" s="16" t="s">
        <v>5817</v>
      </c>
      <c r="G1006" s="14" t="s">
        <v>5818</v>
      </c>
      <c r="H1006" s="11"/>
      <c r="I1006" s="12">
        <v>26</v>
      </c>
      <c r="J1006" s="12">
        <v>8</v>
      </c>
      <c r="K1006" s="13" t="str">
        <f t="shared" ref="K1006:K1008" si="206">HYPERLINK("http://twitter.com","Twitter Web Client")</f>
        <v>Twitter Web Client</v>
      </c>
      <c r="L1006" s="12">
        <v>1597</v>
      </c>
      <c r="M1006" s="12">
        <v>413</v>
      </c>
      <c r="N1006" s="12">
        <v>40</v>
      </c>
      <c r="O1006" s="15"/>
      <c r="P1006" s="6">
        <v>40936.302395833336</v>
      </c>
      <c r="Q1006" s="16" t="s">
        <v>1206</v>
      </c>
      <c r="R1006" s="17" t="s">
        <v>5819</v>
      </c>
      <c r="S1006" s="11"/>
      <c r="T1006" s="11"/>
      <c r="U1006" s="10" t="str">
        <f>HYPERLINK("https://pbs.twimg.com/profile_images/712646560669167616/rfNZjhdm.jpg","View")</f>
        <v>View</v>
      </c>
    </row>
    <row r="1007" spans="1:21" ht="51">
      <c r="A1007" s="6">
        <v>43426.157013888893</v>
      </c>
      <c r="B1007" s="7" t="str">
        <f>HYPERLINK("https://twitter.com/IzquierdaRevol","@IzquierdaRevol")</f>
        <v>@IzquierdaRevol</v>
      </c>
      <c r="C1007" s="8" t="s">
        <v>5820</v>
      </c>
      <c r="D1007" s="9" t="s">
        <v>5821</v>
      </c>
      <c r="E1007" s="10" t="str">
        <f>HYPERLINK("https://twitter.com/IzquierdaRevol/status/1065572123471740928","1065572123471740928")</f>
        <v>1065572123471740928</v>
      </c>
      <c r="F1007" s="11"/>
      <c r="G1007" s="14" t="s">
        <v>5822</v>
      </c>
      <c r="H1007" s="11"/>
      <c r="I1007" s="12">
        <v>14</v>
      </c>
      <c r="J1007" s="12">
        <v>12</v>
      </c>
      <c r="K1007" s="13" t="str">
        <f t="shared" si="206"/>
        <v>Twitter Web Client</v>
      </c>
      <c r="L1007" s="12">
        <v>6955</v>
      </c>
      <c r="M1007" s="12">
        <v>6407</v>
      </c>
      <c r="N1007" s="12">
        <v>57</v>
      </c>
      <c r="O1007" s="15"/>
      <c r="P1007" s="6">
        <v>42551.396481481483</v>
      </c>
      <c r="Q1007" s="16" t="s">
        <v>5823</v>
      </c>
      <c r="R1007" s="17" t="s">
        <v>5824</v>
      </c>
      <c r="S1007" s="14" t="s">
        <v>5825</v>
      </c>
      <c r="T1007" s="11"/>
      <c r="U1007" s="10" t="str">
        <f>HYPERLINK("https://pbs.twimg.com/profile_images/843138064092401664/qjmlGDqq.jpg","View")</f>
        <v>View</v>
      </c>
    </row>
    <row r="1008" spans="1:21" ht="13.2">
      <c r="A1008" s="6">
        <v>43426.156967592593</v>
      </c>
      <c r="B1008" s="7" t="str">
        <f>HYPERLINK("https://twitter.com/rujuber","@rujuber")</f>
        <v>@rujuber</v>
      </c>
      <c r="C1008" s="8" t="s">
        <v>2298</v>
      </c>
      <c r="D1008" s="9" t="s">
        <v>2299</v>
      </c>
      <c r="E1008" s="10" t="str">
        <f>HYPERLINK("https://twitter.com/rujuber/status/1065572107533332480","1065572107533332480")</f>
        <v>1065572107533332480</v>
      </c>
      <c r="F1008" s="14" t="s">
        <v>96</v>
      </c>
      <c r="G1008" s="11"/>
      <c r="H1008" s="11"/>
      <c r="I1008" s="12">
        <v>0</v>
      </c>
      <c r="J1008" s="12">
        <v>1</v>
      </c>
      <c r="K1008" s="13" t="str">
        <f t="shared" si="206"/>
        <v>Twitter Web Client</v>
      </c>
      <c r="L1008" s="12">
        <v>66</v>
      </c>
      <c r="M1008" s="12">
        <v>342</v>
      </c>
      <c r="N1008" s="12">
        <v>2</v>
      </c>
      <c r="O1008" s="15"/>
      <c r="P1008" s="6">
        <v>41884.683495370373</v>
      </c>
      <c r="Q1008" s="11"/>
      <c r="R1008" s="17" t="s">
        <v>2301</v>
      </c>
      <c r="S1008" s="11"/>
      <c r="T1008" s="11"/>
      <c r="U1008" s="10" t="str">
        <f>HYPERLINK("https://pbs.twimg.com/profile_images/1038385213821399040/8_zD_1KA.jpg","View")</f>
        <v>View</v>
      </c>
    </row>
    <row r="1009" spans="1:21" ht="40.799999999999997">
      <c r="A1009" s="6">
        <v>43426.156724537039</v>
      </c>
      <c r="B1009" s="7" t="str">
        <f>HYPERLINK("https://twitter.com/PubliMBI","@PubliMBI")</f>
        <v>@PubliMBI</v>
      </c>
      <c r="C1009" s="8" t="s">
        <v>376</v>
      </c>
      <c r="D1009" s="9" t="s">
        <v>5505</v>
      </c>
      <c r="E1009" s="10" t="str">
        <f>HYPERLINK("https://twitter.com/PubliMBI/status/1065572021000646656","1065572021000646656")</f>
        <v>1065572021000646656</v>
      </c>
      <c r="F1009" s="14" t="s">
        <v>5507</v>
      </c>
      <c r="G1009" s="11"/>
      <c r="H1009" s="11"/>
      <c r="I1009" s="12">
        <v>0</v>
      </c>
      <c r="J1009" s="12">
        <v>0</v>
      </c>
      <c r="K1009" s="13" t="str">
        <f>HYPERLINK("https://ifttt.com","IFTTT")</f>
        <v>IFTTT</v>
      </c>
      <c r="L1009" s="12">
        <v>1583</v>
      </c>
      <c r="M1009" s="12">
        <v>2149</v>
      </c>
      <c r="N1009" s="12">
        <v>18</v>
      </c>
      <c r="O1009" s="15"/>
      <c r="P1009" s="6">
        <v>42672.833715277782</v>
      </c>
      <c r="Q1009" s="16" t="s">
        <v>379</v>
      </c>
      <c r="R1009" s="17" t="s">
        <v>380</v>
      </c>
      <c r="S1009" s="14" t="s">
        <v>381</v>
      </c>
      <c r="T1009" s="11"/>
      <c r="U1009" s="10" t="str">
        <f>HYPERLINK("https://pbs.twimg.com/profile_images/1025163614188187648/NhCVTgu-.jpg","View")</f>
        <v>View</v>
      </c>
    </row>
    <row r="1010" spans="1:21" ht="102">
      <c r="A1010" s="6">
        <v>43426.155648148153</v>
      </c>
      <c r="B1010" s="7" t="str">
        <f>HYPERLINK("https://twitter.com/Kempo_MMA","@Kempo_MMA")</f>
        <v>@Kempo_MMA</v>
      </c>
      <c r="C1010" s="8" t="s">
        <v>5826</v>
      </c>
      <c r="D1010" s="9" t="s">
        <v>5827</v>
      </c>
      <c r="E1010" s="10" t="str">
        <f>HYPERLINK("https://twitter.com/Kempo_MMA/status/1065571631601516549","1065571631601516549")</f>
        <v>1065571631601516549</v>
      </c>
      <c r="F1010" s="16" t="s">
        <v>1205</v>
      </c>
      <c r="G1010" s="11"/>
      <c r="H1010" s="11"/>
      <c r="I1010" s="12">
        <v>0</v>
      </c>
      <c r="J1010" s="12">
        <v>0</v>
      </c>
      <c r="K1010" s="13" t="str">
        <f t="shared" ref="K1010:K1011" si="207">HYPERLINK("http://twitter.com/download/android","Twitter for Android")</f>
        <v>Twitter for Android</v>
      </c>
      <c r="L1010" s="12">
        <v>47</v>
      </c>
      <c r="M1010" s="12">
        <v>59</v>
      </c>
      <c r="N1010" s="12">
        <v>0</v>
      </c>
      <c r="O1010" s="15"/>
      <c r="P1010" s="6">
        <v>43085.795046296298</v>
      </c>
      <c r="Q1010" s="16" t="s">
        <v>1950</v>
      </c>
      <c r="R1010" s="19"/>
      <c r="S1010" s="11"/>
      <c r="T1010" s="11"/>
      <c r="U1010" s="10" t="str">
        <f>HYPERLINK("https://pbs.twimg.com/profile_images/1002970653576712193/8LDg8xBI.jpg","View")</f>
        <v>View</v>
      </c>
    </row>
    <row r="1011" spans="1:21" ht="30.6">
      <c r="A1011" s="6">
        <v>43426.155624999999</v>
      </c>
      <c r="B1011" s="7" t="str">
        <f>HYPERLINK("https://twitter.com/GaryCooper_pepe","@GaryCooper_pepe")</f>
        <v>@GaryCooper_pepe</v>
      </c>
      <c r="C1011" s="8" t="s">
        <v>5829</v>
      </c>
      <c r="D1011" s="9" t="s">
        <v>5830</v>
      </c>
      <c r="E1011" s="10" t="str">
        <f>HYPERLINK("https://twitter.com/GaryCooper_pepe/status/1065571621128323072","1065571621128323072")</f>
        <v>1065571621128323072</v>
      </c>
      <c r="F1011" s="14" t="s">
        <v>529</v>
      </c>
      <c r="G1011" s="11"/>
      <c r="H1011" s="11"/>
      <c r="I1011" s="12">
        <v>0</v>
      </c>
      <c r="J1011" s="12">
        <v>0</v>
      </c>
      <c r="K1011" s="13" t="str">
        <f t="shared" si="207"/>
        <v>Twitter for Android</v>
      </c>
      <c r="L1011" s="12">
        <v>1596</v>
      </c>
      <c r="M1011" s="12">
        <v>3104</v>
      </c>
      <c r="N1011" s="12">
        <v>7</v>
      </c>
      <c r="O1011" s="15"/>
      <c r="P1011" s="6">
        <v>40589.820891203708</v>
      </c>
      <c r="Q1011" s="16" t="s">
        <v>28</v>
      </c>
      <c r="R1011" s="17" t="s">
        <v>5831</v>
      </c>
      <c r="S1011" s="14" t="s">
        <v>5832</v>
      </c>
      <c r="T1011" s="11"/>
      <c r="U1011" s="10" t="str">
        <f>HYPERLINK("https://pbs.twimg.com/profile_images/930055561659416576/_BFJii0o.jpg","View")</f>
        <v>View</v>
      </c>
    </row>
    <row r="1012" spans="1:21" ht="40.799999999999997">
      <c r="A1012" s="6">
        <v>43426.154594907406</v>
      </c>
      <c r="B1012" s="7" t="str">
        <f>HYPERLINK("https://twitter.com/GuilleVad","@GuilleVad")</f>
        <v>@GuilleVad</v>
      </c>
      <c r="C1012" s="8" t="s">
        <v>5833</v>
      </c>
      <c r="D1012" s="9" t="s">
        <v>5834</v>
      </c>
      <c r="E1012" s="10" t="str">
        <f>HYPERLINK("https://twitter.com/GuilleVad/status/1065571245910106112","1065571245910106112")</f>
        <v>1065571245910106112</v>
      </c>
      <c r="F1012" s="11"/>
      <c r="G1012" s="11"/>
      <c r="H1012" s="11"/>
      <c r="I1012" s="12">
        <v>0</v>
      </c>
      <c r="J1012" s="12">
        <v>0</v>
      </c>
      <c r="K1012" s="13" t="str">
        <f t="shared" ref="K1012:K1016" si="208">HYPERLINK("http://twitter.com","Twitter Web Client")</f>
        <v>Twitter Web Client</v>
      </c>
      <c r="L1012" s="12">
        <v>29</v>
      </c>
      <c r="M1012" s="12">
        <v>49</v>
      </c>
      <c r="N1012" s="12">
        <v>1</v>
      </c>
      <c r="O1012" s="15"/>
      <c r="P1012" s="6">
        <v>41115.167337962965</v>
      </c>
      <c r="Q1012" s="16" t="s">
        <v>5835</v>
      </c>
      <c r="R1012" s="17" t="s">
        <v>5836</v>
      </c>
      <c r="S1012" s="11"/>
      <c r="T1012" s="11"/>
      <c r="U1012" s="10" t="str">
        <f>HYPERLINK("https://pbs.twimg.com/profile_images/982745181765152769/1ee_wFLq.jpg","View")</f>
        <v>View</v>
      </c>
    </row>
    <row r="1013" spans="1:21" ht="51">
      <c r="A1013" s="6">
        <v>43426.153611111113</v>
      </c>
      <c r="B1013" s="7" t="str">
        <f>HYPERLINK("https://twitter.com/iusevillaciudad","@iusevillaciudad")</f>
        <v>@iusevillaciudad</v>
      </c>
      <c r="C1013" s="8" t="s">
        <v>753</v>
      </c>
      <c r="D1013" s="9" t="s">
        <v>2302</v>
      </c>
      <c r="E1013" s="10" t="str">
        <f>HYPERLINK("https://twitter.com/iusevillaciudad/status/1065570893202636801","1065570893202636801")</f>
        <v>1065570893202636801</v>
      </c>
      <c r="F1013" s="14" t="s">
        <v>2303</v>
      </c>
      <c r="G1013" s="14" t="s">
        <v>2304</v>
      </c>
      <c r="H1013" s="11"/>
      <c r="I1013" s="12">
        <v>6</v>
      </c>
      <c r="J1013" s="12">
        <v>2</v>
      </c>
      <c r="K1013" s="13" t="str">
        <f t="shared" si="208"/>
        <v>Twitter Web Client</v>
      </c>
      <c r="L1013" s="12">
        <v>6653</v>
      </c>
      <c r="M1013" s="12">
        <v>3212</v>
      </c>
      <c r="N1013" s="12">
        <v>175</v>
      </c>
      <c r="O1013" s="15"/>
      <c r="P1013" s="6">
        <v>40056.205578703702</v>
      </c>
      <c r="Q1013" s="16" t="s">
        <v>132</v>
      </c>
      <c r="R1013" s="17" t="s">
        <v>760</v>
      </c>
      <c r="S1013" s="14" t="s">
        <v>761</v>
      </c>
      <c r="T1013" s="11"/>
      <c r="U1013" s="10" t="str">
        <f>HYPERLINK("https://pbs.twimg.com/profile_images/1017089512449724416/AXwyMPON.jpg","View")</f>
        <v>View</v>
      </c>
    </row>
    <row r="1014" spans="1:21" ht="40.799999999999997">
      <c r="A1014" s="6">
        <v>43426.15347222222</v>
      </c>
      <c r="B1014" s="7" t="str">
        <f>HYPERLINK("https://twitter.com/vicentelozano","@vicentelozano")</f>
        <v>@vicentelozano</v>
      </c>
      <c r="C1014" s="8" t="s">
        <v>5837</v>
      </c>
      <c r="D1014" s="9" t="s">
        <v>5838</v>
      </c>
      <c r="E1014" s="10" t="str">
        <f>HYPERLINK("https://twitter.com/vicentelozano/status/1065570841109385216","1065570841109385216")</f>
        <v>1065570841109385216</v>
      </c>
      <c r="F1014" s="11"/>
      <c r="G1014" s="11"/>
      <c r="H1014" s="11"/>
      <c r="I1014" s="12">
        <v>9</v>
      </c>
      <c r="J1014" s="12">
        <v>10</v>
      </c>
      <c r="K1014" s="13" t="str">
        <f t="shared" si="208"/>
        <v>Twitter Web Client</v>
      </c>
      <c r="L1014" s="12">
        <v>8391</v>
      </c>
      <c r="M1014" s="12">
        <v>2736</v>
      </c>
      <c r="N1014" s="12">
        <v>466</v>
      </c>
      <c r="O1014" s="15"/>
      <c r="P1014" s="6">
        <v>39846.403796296298</v>
      </c>
      <c r="Q1014" s="16" t="s">
        <v>5839</v>
      </c>
      <c r="R1014" s="17" t="s">
        <v>5840</v>
      </c>
      <c r="S1014" s="14" t="s">
        <v>5841</v>
      </c>
      <c r="T1014" s="11"/>
      <c r="U1014" s="10" t="str">
        <f>HYPERLINK("https://pbs.twimg.com/profile_images/600054072750768128/5ukBWVKP.jpg","View")</f>
        <v>View</v>
      </c>
    </row>
    <row r="1015" spans="1:21" ht="40.799999999999997">
      <c r="A1015" s="6">
        <v>43426.151759259257</v>
      </c>
      <c r="B1015" s="7" t="str">
        <f>HYPERLINK("https://twitter.com/kuskuRusku","@kuskuRusku")</f>
        <v>@kuskuRusku</v>
      </c>
      <c r="C1015" s="8" t="s">
        <v>2305</v>
      </c>
      <c r="D1015" s="9" t="s">
        <v>2306</v>
      </c>
      <c r="E1015" s="10" t="str">
        <f>HYPERLINK("https://twitter.com/kuskuRusku/status/1065570220046249984","1065570220046249984")</f>
        <v>1065570220046249984</v>
      </c>
      <c r="F1015" s="11"/>
      <c r="G1015" s="14" t="s">
        <v>2307</v>
      </c>
      <c r="H1015" s="11"/>
      <c r="I1015" s="12">
        <v>0</v>
      </c>
      <c r="J1015" s="12">
        <v>0</v>
      </c>
      <c r="K1015" s="13" t="str">
        <f t="shared" si="208"/>
        <v>Twitter Web Client</v>
      </c>
      <c r="L1015" s="12">
        <v>41</v>
      </c>
      <c r="M1015" s="12">
        <v>63</v>
      </c>
      <c r="N1015" s="12">
        <v>0</v>
      </c>
      <c r="O1015" s="15"/>
      <c r="P1015" s="6">
        <v>43406.150185185186</v>
      </c>
      <c r="Q1015" s="16" t="s">
        <v>2308</v>
      </c>
      <c r="R1015" s="17" t="s">
        <v>2309</v>
      </c>
      <c r="S1015" s="11"/>
      <c r="T1015" s="11"/>
      <c r="U1015" s="10" t="str">
        <f>HYPERLINK("https://pbs.twimg.com/profile_images/1060143709411573760/BOCaXEMT.jpg","View")</f>
        <v>View</v>
      </c>
    </row>
    <row r="1016" spans="1:21" ht="30.6">
      <c r="A1016" s="6">
        <v>43426.150925925926</v>
      </c>
      <c r="B1016" s="7" t="str">
        <f>HYPERLINK("https://twitter.com/SophieRohirrim","@SophieRohirrim")</f>
        <v>@SophieRohirrim</v>
      </c>
      <c r="C1016" s="8" t="s">
        <v>2310</v>
      </c>
      <c r="D1016" s="9" t="s">
        <v>2311</v>
      </c>
      <c r="E1016" s="10" t="str">
        <f>HYPERLINK("https://twitter.com/SophieRohirrim/status/1065569916290519040","1065569916290519040")</f>
        <v>1065569916290519040</v>
      </c>
      <c r="F1016" s="14" t="s">
        <v>96</v>
      </c>
      <c r="G1016" s="11"/>
      <c r="H1016" s="11"/>
      <c r="I1016" s="12">
        <v>0</v>
      </c>
      <c r="J1016" s="12">
        <v>0</v>
      </c>
      <c r="K1016" s="13" t="str">
        <f t="shared" si="208"/>
        <v>Twitter Web Client</v>
      </c>
      <c r="L1016" s="12">
        <v>496</v>
      </c>
      <c r="M1016" s="12">
        <v>464</v>
      </c>
      <c r="N1016" s="12">
        <v>11</v>
      </c>
      <c r="O1016" s="15"/>
      <c r="P1016" s="6">
        <v>40267.045543981483</v>
      </c>
      <c r="Q1016" s="16" t="s">
        <v>87</v>
      </c>
      <c r="R1016" s="17" t="s">
        <v>2312</v>
      </c>
      <c r="S1016" s="11"/>
      <c r="T1016" s="11"/>
      <c r="U1016" s="10" t="str">
        <f>HYPERLINK("https://pbs.twimg.com/profile_images/796060598861778944/18j5Luxb.jpg","View")</f>
        <v>View</v>
      </c>
    </row>
    <row r="1017" spans="1:21" ht="51">
      <c r="A1017" s="6">
        <v>43426.150752314818</v>
      </c>
      <c r="B1017" s="7" t="str">
        <f>HYPERLINK("https://twitter.com/Mariskal_","@Mariskal_")</f>
        <v>@Mariskal_</v>
      </c>
      <c r="C1017" s="8" t="s">
        <v>2313</v>
      </c>
      <c r="D1017" s="9" t="s">
        <v>2314</v>
      </c>
      <c r="E1017" s="10" t="str">
        <f>HYPERLINK("https://twitter.com/Mariskal_/status/1065569856966324225","1065569856966324225")</f>
        <v>1065569856966324225</v>
      </c>
      <c r="F1017" s="11"/>
      <c r="G1017" s="11"/>
      <c r="H1017" s="11"/>
      <c r="I1017" s="12">
        <v>0</v>
      </c>
      <c r="J1017" s="12">
        <v>0</v>
      </c>
      <c r="K1017" s="13" t="str">
        <f>HYPERLINK("http://twitter.com/download/android","Twitter for Android")</f>
        <v>Twitter for Android</v>
      </c>
      <c r="L1017" s="12">
        <v>23</v>
      </c>
      <c r="M1017" s="12">
        <v>39</v>
      </c>
      <c r="N1017" s="12">
        <v>0</v>
      </c>
      <c r="O1017" s="15"/>
      <c r="P1017" s="6">
        <v>43410.186192129629</v>
      </c>
      <c r="Q1017" s="16" t="s">
        <v>2315</v>
      </c>
      <c r="R1017" s="17" t="s">
        <v>2316</v>
      </c>
      <c r="S1017" s="11"/>
      <c r="T1017" s="11"/>
      <c r="U1017" s="10" t="str">
        <f>HYPERLINK("https://pbs.twimg.com/profile_images/1059785668900122629/4dbNECWh.jpg","View")</f>
        <v>View</v>
      </c>
    </row>
    <row r="1018" spans="1:21" ht="40.799999999999997">
      <c r="A1018" s="6">
        <v>43426.15048611111</v>
      </c>
      <c r="B1018" s="7" t="str">
        <f>HYPERLINK("https://twitter.com/MuanoOscar","@MuanoOscar")</f>
        <v>@MuanoOscar</v>
      </c>
      <c r="C1018" s="8" t="s">
        <v>5843</v>
      </c>
      <c r="D1018" s="9" t="s">
        <v>768</v>
      </c>
      <c r="E1018" s="10" t="str">
        <f>HYPERLINK("https://twitter.com/MuanoOscar/status/1065569757716451328","1065569757716451328")</f>
        <v>1065569757716451328</v>
      </c>
      <c r="F1018" s="14" t="s">
        <v>529</v>
      </c>
      <c r="G1018" s="11"/>
      <c r="H1018" s="11"/>
      <c r="I1018" s="12">
        <v>0</v>
      </c>
      <c r="J1018" s="12">
        <v>0</v>
      </c>
      <c r="K1018" s="13" t="str">
        <f>HYPERLINK("http://twitter.com/download/iphone","Twitter for iPhone")</f>
        <v>Twitter for iPhone</v>
      </c>
      <c r="L1018" s="12">
        <v>306</v>
      </c>
      <c r="M1018" s="12">
        <v>939</v>
      </c>
      <c r="N1018" s="12">
        <v>1</v>
      </c>
      <c r="O1018" s="15"/>
      <c r="P1018" s="6">
        <v>41405.392662037033</v>
      </c>
      <c r="Q1018" s="11"/>
      <c r="R1018" s="17" t="s">
        <v>5845</v>
      </c>
      <c r="S1018" s="11"/>
      <c r="T1018" s="11"/>
      <c r="U1018" s="10" t="str">
        <f>HYPERLINK("https://pbs.twimg.com/profile_images/1060896460143820801/K3J198Gw.jpg","View")</f>
        <v>View</v>
      </c>
    </row>
    <row r="1019" spans="1:21" ht="30.6">
      <c r="A1019" s="6">
        <v>43426.150196759263</v>
      </c>
      <c r="B1019" s="7" t="str">
        <f>HYPERLINK("https://twitter.com/varevalo_","@varevalo_")</f>
        <v>@varevalo_</v>
      </c>
      <c r="C1019" s="8" t="s">
        <v>5846</v>
      </c>
      <c r="D1019" s="9" t="s">
        <v>3304</v>
      </c>
      <c r="E1019" s="10" t="str">
        <f>HYPERLINK("https://twitter.com/varevalo_/status/1065569652422729728","1065569652422729728")</f>
        <v>1065569652422729728</v>
      </c>
      <c r="F1019" s="11"/>
      <c r="G1019" s="11"/>
      <c r="H1019" s="11"/>
      <c r="I1019" s="12">
        <v>0</v>
      </c>
      <c r="J1019" s="12">
        <v>2</v>
      </c>
      <c r="K1019" s="13" t="str">
        <f t="shared" ref="K1019:K1022" si="209">HYPERLINK("http://twitter.com/download/android","Twitter for Android")</f>
        <v>Twitter for Android</v>
      </c>
      <c r="L1019" s="12">
        <v>288</v>
      </c>
      <c r="M1019" s="12">
        <v>291</v>
      </c>
      <c r="N1019" s="12">
        <v>4</v>
      </c>
      <c r="O1019" s="15"/>
      <c r="P1019" s="6">
        <v>41608.511053240742</v>
      </c>
      <c r="Q1019" s="16" t="s">
        <v>5847</v>
      </c>
      <c r="R1019" s="17" t="s">
        <v>5848</v>
      </c>
      <c r="S1019" s="11"/>
      <c r="T1019" s="11"/>
      <c r="U1019" s="10" t="str">
        <f>HYPERLINK("https://pbs.twimg.com/profile_images/1059079771315990528/LecGqlMn.jpg","View")</f>
        <v>View</v>
      </c>
    </row>
    <row r="1020" spans="1:21" ht="51">
      <c r="A1020" s="6">
        <v>43426.149861111116</v>
      </c>
      <c r="B1020" s="7" t="str">
        <f>HYPERLINK("https://twitter.com/Ismorrovic","@Ismorrovic")</f>
        <v>@Ismorrovic</v>
      </c>
      <c r="C1020" s="8" t="s">
        <v>5849</v>
      </c>
      <c r="D1020" s="9" t="s">
        <v>5850</v>
      </c>
      <c r="E1020" s="10" t="str">
        <f>HYPERLINK("https://twitter.com/Ismorrovic/status/1065569533233106944","1065569533233106944")</f>
        <v>1065569533233106944</v>
      </c>
      <c r="F1020" s="11"/>
      <c r="G1020" s="11"/>
      <c r="H1020" s="11"/>
      <c r="I1020" s="12">
        <v>2</v>
      </c>
      <c r="J1020" s="12">
        <v>8</v>
      </c>
      <c r="K1020" s="13" t="str">
        <f t="shared" si="209"/>
        <v>Twitter for Android</v>
      </c>
      <c r="L1020" s="12">
        <v>682</v>
      </c>
      <c r="M1020" s="12">
        <v>607</v>
      </c>
      <c r="N1020" s="12">
        <v>4</v>
      </c>
      <c r="O1020" s="15"/>
      <c r="P1020" s="6">
        <v>41813.492465277777</v>
      </c>
      <c r="Q1020" s="16" t="s">
        <v>28</v>
      </c>
      <c r="R1020" s="17" t="s">
        <v>5851</v>
      </c>
      <c r="S1020" s="11"/>
      <c r="T1020" s="11"/>
      <c r="U1020" s="10" t="str">
        <f>HYPERLINK("https://pbs.twimg.com/profile_images/905180811430854657/sK5eiIBH.jpg","View")</f>
        <v>View</v>
      </c>
    </row>
    <row r="1021" spans="1:21" ht="30.6">
      <c r="A1021" s="6">
        <v>43426.149837962963</v>
      </c>
      <c r="B1021" s="7" t="str">
        <f>HYPERLINK("https://twitter.com/josilherKR","@josilherKR")</f>
        <v>@josilherKR</v>
      </c>
      <c r="C1021" s="8" t="s">
        <v>5852</v>
      </c>
      <c r="D1021" s="9" t="s">
        <v>3304</v>
      </c>
      <c r="E1021" s="10" t="str">
        <f>HYPERLINK("https://twitter.com/josilherKR/status/1065569523473018880","1065569523473018880")</f>
        <v>1065569523473018880</v>
      </c>
      <c r="F1021" s="11"/>
      <c r="G1021" s="11"/>
      <c r="H1021" s="11"/>
      <c r="I1021" s="12">
        <v>0</v>
      </c>
      <c r="J1021" s="12">
        <v>2</v>
      </c>
      <c r="K1021" s="13" t="str">
        <f t="shared" si="209"/>
        <v>Twitter for Android</v>
      </c>
      <c r="L1021" s="12">
        <v>129</v>
      </c>
      <c r="M1021" s="12">
        <v>303</v>
      </c>
      <c r="N1021" s="12">
        <v>0</v>
      </c>
      <c r="O1021" s="15"/>
      <c r="P1021" s="6">
        <v>41760.533912037034</v>
      </c>
      <c r="Q1021" s="16" t="s">
        <v>5853</v>
      </c>
      <c r="R1021" s="17" t="s">
        <v>5854</v>
      </c>
      <c r="S1021" s="11"/>
      <c r="T1021" s="11"/>
      <c r="U1021" s="10" t="str">
        <f>HYPERLINK("https://pbs.twimg.com/profile_images/1064600047852109825/_qXV2Gny.jpg","View")</f>
        <v>View</v>
      </c>
    </row>
    <row r="1022" spans="1:21" ht="30.6">
      <c r="A1022" s="6">
        <v>43426.149189814816</v>
      </c>
      <c r="B1022" s="7" t="str">
        <f>HYPERLINK("https://twitter.com/CyoSann","@CyoSann")</f>
        <v>@CyoSann</v>
      </c>
      <c r="C1022" s="8" t="s">
        <v>5855</v>
      </c>
      <c r="D1022" s="9" t="s">
        <v>3304</v>
      </c>
      <c r="E1022" s="10" t="str">
        <f>HYPERLINK("https://twitter.com/CyoSann/status/1065569289514688514","1065569289514688514")</f>
        <v>1065569289514688514</v>
      </c>
      <c r="F1022" s="11"/>
      <c r="G1022" s="11"/>
      <c r="H1022" s="11"/>
      <c r="I1022" s="12">
        <v>0</v>
      </c>
      <c r="J1022" s="12">
        <v>0</v>
      </c>
      <c r="K1022" s="13" t="str">
        <f t="shared" si="209"/>
        <v>Twitter for Android</v>
      </c>
      <c r="L1022" s="12">
        <v>238</v>
      </c>
      <c r="M1022" s="12">
        <v>676</v>
      </c>
      <c r="N1022" s="12">
        <v>0</v>
      </c>
      <c r="O1022" s="15"/>
      <c r="P1022" s="6">
        <v>42546.12872685185</v>
      </c>
      <c r="Q1022" s="16" t="s">
        <v>5856</v>
      </c>
      <c r="R1022" s="19"/>
      <c r="S1022" s="11"/>
      <c r="T1022" s="11"/>
      <c r="U1022" s="10" t="str">
        <f>HYPERLINK("https://pbs.twimg.com/profile_images/1047166562388590592/G0h25b9J.jpg","View")</f>
        <v>View</v>
      </c>
    </row>
    <row r="1023" spans="1:21" ht="51">
      <c r="A1023" s="6">
        <v>43426.148935185185</v>
      </c>
      <c r="B1023" s="7" t="str">
        <f>HYPERLINK("https://twitter.com/durolandia","@durolandia")</f>
        <v>@durolandia</v>
      </c>
      <c r="C1023" s="8" t="s">
        <v>2317</v>
      </c>
      <c r="D1023" s="9" t="s">
        <v>2318</v>
      </c>
      <c r="E1023" s="10" t="str">
        <f>HYPERLINK("https://twitter.com/durolandia/status/1065569196518662144","1065569196518662144")</f>
        <v>1065569196518662144</v>
      </c>
      <c r="F1023" s="14" t="s">
        <v>529</v>
      </c>
      <c r="G1023" s="11"/>
      <c r="H1023" s="11"/>
      <c r="I1023" s="12">
        <v>14</v>
      </c>
      <c r="J1023" s="12">
        <v>10</v>
      </c>
      <c r="K1023" s="13" t="str">
        <f>HYPERLINK("http://twitter.com","Twitter Web Client")</f>
        <v>Twitter Web Client</v>
      </c>
      <c r="L1023" s="12">
        <v>2087</v>
      </c>
      <c r="M1023" s="12">
        <v>3294</v>
      </c>
      <c r="N1023" s="12">
        <v>126</v>
      </c>
      <c r="O1023" s="15"/>
      <c r="P1023" s="6">
        <v>40820.711793981478</v>
      </c>
      <c r="Q1023" s="16" t="s">
        <v>2321</v>
      </c>
      <c r="R1023" s="17" t="s">
        <v>2322</v>
      </c>
      <c r="S1023" s="11"/>
      <c r="T1023" s="11"/>
      <c r="U1023" s="10" t="str">
        <f>HYPERLINK("https://pbs.twimg.com/profile_images/1063997282603941888/HPOVijRJ.jpg","View")</f>
        <v>View</v>
      </c>
    </row>
    <row r="1024" spans="1:21" ht="30.6">
      <c r="A1024" s="6">
        <v>43426.148923611108</v>
      </c>
      <c r="B1024" s="7" t="str">
        <f>HYPERLINK("https://twitter.com/cosmicgommie","@cosmicgommie")</f>
        <v>@cosmicgommie</v>
      </c>
      <c r="C1024" s="8" t="s">
        <v>5857</v>
      </c>
      <c r="D1024" s="9" t="s">
        <v>3304</v>
      </c>
      <c r="E1024" s="10" t="str">
        <f>HYPERLINK("https://twitter.com/cosmicgommie/status/1065569193825849345","1065569193825849345")</f>
        <v>1065569193825849345</v>
      </c>
      <c r="F1024" s="11"/>
      <c r="G1024" s="11"/>
      <c r="H1024" s="11"/>
      <c r="I1024" s="12">
        <v>0</v>
      </c>
      <c r="J1024" s="12">
        <v>0</v>
      </c>
      <c r="K1024" s="13" t="str">
        <f>HYPERLINK("https://about.twitter.com/products/tweetdeck","TweetDeck")</f>
        <v>TweetDeck</v>
      </c>
      <c r="L1024" s="12">
        <v>51</v>
      </c>
      <c r="M1024" s="12">
        <v>59</v>
      </c>
      <c r="N1024" s="12">
        <v>0</v>
      </c>
      <c r="O1024" s="15"/>
      <c r="P1024" s="6">
        <v>43419.500706018516</v>
      </c>
      <c r="Q1024" s="16" t="s">
        <v>5858</v>
      </c>
      <c r="R1024" s="17" t="s">
        <v>5859</v>
      </c>
      <c r="S1024" s="11"/>
      <c r="T1024" s="11"/>
      <c r="U1024" s="10" t="str">
        <f>HYPERLINK("https://pbs.twimg.com/profile_images/1065593069276413952/glTsJ8d-.jpg","View")</f>
        <v>View</v>
      </c>
    </row>
    <row r="1025" spans="1:21" ht="30.6">
      <c r="A1025" s="6">
        <v>43426.148900462962</v>
      </c>
      <c r="B1025" s="7" t="str">
        <f>HYPERLINK("https://twitter.com/Socramarcosax","@Socramarcosax")</f>
        <v>@Socramarcosax</v>
      </c>
      <c r="C1025" s="8" t="s">
        <v>5860</v>
      </c>
      <c r="D1025" s="9" t="s">
        <v>3304</v>
      </c>
      <c r="E1025" s="10" t="str">
        <f>HYPERLINK("https://twitter.com/Socramarcosax/status/1065569183285551107","1065569183285551107")</f>
        <v>1065569183285551107</v>
      </c>
      <c r="F1025" s="11"/>
      <c r="G1025" s="11"/>
      <c r="H1025" s="11"/>
      <c r="I1025" s="12">
        <v>0</v>
      </c>
      <c r="J1025" s="12">
        <v>0</v>
      </c>
      <c r="K1025" s="13" t="str">
        <f>HYPERLINK("http://twitter.com/download/android","Twitter for Android")</f>
        <v>Twitter for Android</v>
      </c>
      <c r="L1025" s="12">
        <v>216</v>
      </c>
      <c r="M1025" s="12">
        <v>182</v>
      </c>
      <c r="N1025" s="12">
        <v>3</v>
      </c>
      <c r="O1025" s="15"/>
      <c r="P1025" s="6">
        <v>41704.434965277775</v>
      </c>
      <c r="Q1025" s="16" t="s">
        <v>5861</v>
      </c>
      <c r="R1025" s="19"/>
      <c r="S1025" s="14" t="s">
        <v>5862</v>
      </c>
      <c r="T1025" s="11"/>
      <c r="U1025" s="10" t="str">
        <f>HYPERLINK("https://pbs.twimg.com/profile_images/1058122746717241344/3Ch07UQh.jpg","View")</f>
        <v>View</v>
      </c>
    </row>
    <row r="1026" spans="1:21" ht="40.799999999999997">
      <c r="A1026" s="6">
        <v>43426.148738425924</v>
      </c>
      <c r="B1026" s="7" t="str">
        <f>HYPERLINK("https://twitter.com/LtDanKaffee","@LtDanKaffee")</f>
        <v>@LtDanKaffee</v>
      </c>
      <c r="C1026" s="8" t="s">
        <v>2324</v>
      </c>
      <c r="D1026" s="9" t="s">
        <v>2325</v>
      </c>
      <c r="E1026" s="10" t="str">
        <f>HYPERLINK("https://twitter.com/LtDanKaffee/status/1065569126205280256","1065569126205280256")</f>
        <v>1065569126205280256</v>
      </c>
      <c r="F1026" s="14" t="s">
        <v>96</v>
      </c>
      <c r="G1026" s="11"/>
      <c r="H1026" s="11"/>
      <c r="I1026" s="12">
        <v>0</v>
      </c>
      <c r="J1026" s="12">
        <v>0</v>
      </c>
      <c r="K1026" s="13" t="str">
        <f t="shared" ref="K1026:K1027" si="210">HYPERLINK("http://twitter.com","Twitter Web Client")</f>
        <v>Twitter Web Client</v>
      </c>
      <c r="L1026" s="12">
        <v>59</v>
      </c>
      <c r="M1026" s="12">
        <v>298</v>
      </c>
      <c r="N1026" s="12">
        <v>1</v>
      </c>
      <c r="O1026" s="15"/>
      <c r="P1026" s="6">
        <v>42954.134884259256</v>
      </c>
      <c r="Q1026" s="16" t="s">
        <v>2326</v>
      </c>
      <c r="R1026" s="17" t="s">
        <v>2327</v>
      </c>
      <c r="S1026" s="11"/>
      <c r="T1026" s="11"/>
      <c r="U1026" s="10" t="str">
        <f>HYPERLINK("https://pbs.twimg.com/profile_images/1058004494544445441/CjtNITdg.jpg","View")</f>
        <v>View</v>
      </c>
    </row>
    <row r="1027" spans="1:21" ht="20.399999999999999">
      <c r="A1027" s="6">
        <v>43426.148402777777</v>
      </c>
      <c r="B1027" s="7" t="str">
        <f>HYPERLINK("https://twitter.com/josemanuelferra","@josemanuelferra")</f>
        <v>@josemanuelferra</v>
      </c>
      <c r="C1027" s="8" t="s">
        <v>631</v>
      </c>
      <c r="D1027" s="9" t="s">
        <v>2328</v>
      </c>
      <c r="E1027" s="10" t="str">
        <f>HYPERLINK("https://twitter.com/josemanuelferra/status/1065569004838928384","1065569004838928384")</f>
        <v>1065569004838928384</v>
      </c>
      <c r="F1027" s="14" t="s">
        <v>2329</v>
      </c>
      <c r="G1027" s="14" t="s">
        <v>2330</v>
      </c>
      <c r="H1027" s="11"/>
      <c r="I1027" s="12">
        <v>1</v>
      </c>
      <c r="J1027" s="12">
        <v>4</v>
      </c>
      <c r="K1027" s="13" t="str">
        <f t="shared" si="210"/>
        <v>Twitter Web Client</v>
      </c>
      <c r="L1027" s="12">
        <v>5169</v>
      </c>
      <c r="M1027" s="12">
        <v>4766</v>
      </c>
      <c r="N1027" s="12">
        <v>41</v>
      </c>
      <c r="O1027" s="15"/>
      <c r="P1027" s="6">
        <v>40714.10119212963</v>
      </c>
      <c r="Q1027" s="16" t="s">
        <v>637</v>
      </c>
      <c r="R1027" s="17" t="s">
        <v>638</v>
      </c>
      <c r="S1027" s="14" t="s">
        <v>639</v>
      </c>
      <c r="T1027" s="11"/>
      <c r="U1027" s="10" t="str">
        <f>HYPERLINK("https://pbs.twimg.com/profile_images/1060871302498652161/auhatgNP.jpg","View")</f>
        <v>View</v>
      </c>
    </row>
    <row r="1028" spans="1:21" ht="30.6">
      <c r="A1028" s="6">
        <v>43426.1481712963</v>
      </c>
      <c r="B1028" s="7" t="str">
        <f>HYPERLINK("https://twitter.com/FNC_____Sesa","@FNC_____Sesa")</f>
        <v>@FNC_____Sesa</v>
      </c>
      <c r="C1028" s="8" t="s">
        <v>5864</v>
      </c>
      <c r="D1028" s="9" t="s">
        <v>3304</v>
      </c>
      <c r="E1028" s="10" t="str">
        <f>HYPERLINK("https://twitter.com/FNC_____Sesa/status/1065568921053552640","1065568921053552640")</f>
        <v>1065568921053552640</v>
      </c>
      <c r="F1028" s="11"/>
      <c r="G1028" s="11"/>
      <c r="H1028" s="11"/>
      <c r="I1028" s="12">
        <v>0</v>
      </c>
      <c r="J1028" s="12">
        <v>3</v>
      </c>
      <c r="K1028" s="13" t="str">
        <f t="shared" ref="K1028:K1030" si="211">HYPERLINK("http://twitter.com/download/android","Twitter for Android")</f>
        <v>Twitter for Android</v>
      </c>
      <c r="L1028" s="12">
        <v>472</v>
      </c>
      <c r="M1028" s="12">
        <v>199</v>
      </c>
      <c r="N1028" s="12">
        <v>2</v>
      </c>
      <c r="O1028" s="15"/>
      <c r="P1028" s="6">
        <v>41336.574525462966</v>
      </c>
      <c r="Q1028" s="16" t="s">
        <v>5865</v>
      </c>
      <c r="R1028" s="17" t="s">
        <v>5866</v>
      </c>
      <c r="S1028" s="11"/>
      <c r="T1028" s="11"/>
      <c r="U1028" s="10" t="str">
        <f>HYPERLINK("https://pbs.twimg.com/profile_images/1065257152498081792/idcaq7r5.jpg","View")</f>
        <v>View</v>
      </c>
    </row>
    <row r="1029" spans="1:21" ht="30.6">
      <c r="A1029" s="6">
        <v>43426.148136574076</v>
      </c>
      <c r="B1029" s="7" t="str">
        <f>HYPERLINK("https://twitter.com/fckdasystem7","@fckdasystem7")</f>
        <v>@fckdasystem7</v>
      </c>
      <c r="C1029" s="8" t="s">
        <v>5867</v>
      </c>
      <c r="D1029" s="9" t="s">
        <v>3304</v>
      </c>
      <c r="E1029" s="10" t="str">
        <f>HYPERLINK("https://twitter.com/fckdasystem7/status/1065568907942084608","1065568907942084608")</f>
        <v>1065568907942084608</v>
      </c>
      <c r="F1029" s="11"/>
      <c r="G1029" s="11"/>
      <c r="H1029" s="11"/>
      <c r="I1029" s="12">
        <v>0</v>
      </c>
      <c r="J1029" s="12">
        <v>2</v>
      </c>
      <c r="K1029" s="13" t="str">
        <f t="shared" si="211"/>
        <v>Twitter for Android</v>
      </c>
      <c r="L1029" s="12">
        <v>36</v>
      </c>
      <c r="M1029" s="12">
        <v>268</v>
      </c>
      <c r="N1029" s="12">
        <v>1</v>
      </c>
      <c r="O1029" s="15"/>
      <c r="P1029" s="6">
        <v>42505.585011574076</v>
      </c>
      <c r="Q1029" s="11"/>
      <c r="R1029" s="17" t="s">
        <v>5868</v>
      </c>
      <c r="S1029" s="11"/>
      <c r="T1029" s="11"/>
      <c r="U1029" s="10" t="str">
        <f>HYPERLINK("https://pbs.twimg.com/profile_images/1037390515157786624/ezka1EW7.jpg","View")</f>
        <v>View</v>
      </c>
    </row>
    <row r="1030" spans="1:21" ht="51">
      <c r="A1030" s="6">
        <v>43426.147928240738</v>
      </c>
      <c r="B1030" s="7" t="str">
        <f>HYPERLINK("https://twitter.com/henyckmazoker","@henyckmazoker")</f>
        <v>@henyckmazoker</v>
      </c>
      <c r="C1030" s="8" t="s">
        <v>5869</v>
      </c>
      <c r="D1030" s="9" t="s">
        <v>3304</v>
      </c>
      <c r="E1030" s="10" t="str">
        <f>HYPERLINK("https://twitter.com/henyckmazoker/status/1065568831022731264","1065568831022731264")</f>
        <v>1065568831022731264</v>
      </c>
      <c r="F1030" s="11"/>
      <c r="G1030" s="11"/>
      <c r="H1030" s="11"/>
      <c r="I1030" s="12">
        <v>1</v>
      </c>
      <c r="J1030" s="12">
        <v>4</v>
      </c>
      <c r="K1030" s="13" t="str">
        <f t="shared" si="211"/>
        <v>Twitter for Android</v>
      </c>
      <c r="L1030" s="12">
        <v>71</v>
      </c>
      <c r="M1030" s="12">
        <v>311</v>
      </c>
      <c r="N1030" s="12">
        <v>4</v>
      </c>
      <c r="O1030" s="15"/>
      <c r="P1030" s="6">
        <v>41586.299467592595</v>
      </c>
      <c r="Q1030" s="11"/>
      <c r="R1030" s="17" t="s">
        <v>5870</v>
      </c>
      <c r="S1030" s="11"/>
      <c r="T1030" s="11"/>
      <c r="U1030" s="10" t="str">
        <f>HYPERLINK("https://pbs.twimg.com/profile_images/1046541969818898433/EjiY5Orh.jpg","View")</f>
        <v>View</v>
      </c>
    </row>
    <row r="1031" spans="1:21" ht="20.399999999999999">
      <c r="A1031" s="6">
        <v>43426.147094907406</v>
      </c>
      <c r="B1031" s="7" t="str">
        <f>HYPERLINK("https://twitter.com/92Inma","@92Inma")</f>
        <v>@92Inma</v>
      </c>
      <c r="C1031" s="8" t="s">
        <v>2331</v>
      </c>
      <c r="D1031" s="9" t="s">
        <v>2332</v>
      </c>
      <c r="E1031" s="10" t="str">
        <f>HYPERLINK("https://twitter.com/92Inma/status/1065568529754279936","1065568529754279936")</f>
        <v>1065568529754279936</v>
      </c>
      <c r="F1031" s="14" t="s">
        <v>96</v>
      </c>
      <c r="G1031" s="11"/>
      <c r="H1031" s="11"/>
      <c r="I1031" s="12">
        <v>0</v>
      </c>
      <c r="J1031" s="12">
        <v>1</v>
      </c>
      <c r="K1031" s="13" t="str">
        <f>HYPERLINK("http://twitter.com","Twitter Web Client")</f>
        <v>Twitter Web Client</v>
      </c>
      <c r="L1031" s="12">
        <v>79</v>
      </c>
      <c r="M1031" s="12">
        <v>227</v>
      </c>
      <c r="N1031" s="12">
        <v>0</v>
      </c>
      <c r="O1031" s="15"/>
      <c r="P1031" s="6">
        <v>40841.315069444448</v>
      </c>
      <c r="Q1031" s="16" t="s">
        <v>2333</v>
      </c>
      <c r="R1031" s="19"/>
      <c r="S1031" s="11"/>
      <c r="T1031" s="11"/>
      <c r="U1031" s="10" t="str">
        <f>HYPERLINK("https://pbs.twimg.com/profile_images/1065572878433816576/EnsIIrEb.jpg","View")</f>
        <v>View</v>
      </c>
    </row>
    <row r="1032" spans="1:21" ht="51">
      <c r="A1032" s="6">
        <v>43426.146932870368</v>
      </c>
      <c r="B1032" s="7" t="str">
        <f>HYPERLINK("https://twitter.com/Ender184","@Ender184")</f>
        <v>@Ender184</v>
      </c>
      <c r="C1032" s="8" t="s">
        <v>2334</v>
      </c>
      <c r="D1032" s="9" t="s">
        <v>2335</v>
      </c>
      <c r="E1032" s="10" t="str">
        <f>HYPERLINK("https://twitter.com/Ender184/status/1065568469863854081","1065568469863854081")</f>
        <v>1065568469863854081</v>
      </c>
      <c r="F1032" s="11"/>
      <c r="G1032" s="11"/>
      <c r="H1032" s="11"/>
      <c r="I1032" s="12">
        <v>0</v>
      </c>
      <c r="J1032" s="12">
        <v>1</v>
      </c>
      <c r="K1032" s="13" t="str">
        <f t="shared" ref="K1032:K1035" si="212">HYPERLINK("http://twitter.com/download/android","Twitter for Android")</f>
        <v>Twitter for Android</v>
      </c>
      <c r="L1032" s="12">
        <v>20</v>
      </c>
      <c r="M1032" s="12">
        <v>156</v>
      </c>
      <c r="N1032" s="12">
        <v>0</v>
      </c>
      <c r="O1032" s="15"/>
      <c r="P1032" s="6">
        <v>40838.729178240741</v>
      </c>
      <c r="Q1032" s="11"/>
      <c r="R1032" s="19"/>
      <c r="S1032" s="11"/>
      <c r="T1032" s="11"/>
      <c r="U1032" s="10" t="str">
        <f>HYPERLINK("https://pbs.twimg.com/profile_images/1030807567600177153/noLgHEN1.jpg","View")</f>
        <v>View</v>
      </c>
    </row>
    <row r="1033" spans="1:21" ht="30.6">
      <c r="A1033" s="6">
        <v>43426.146747685183</v>
      </c>
      <c r="B1033" s="7" t="str">
        <f>HYPERLINK("https://twitter.com/LiISticky","@LiISticky")</f>
        <v>@LiISticky</v>
      </c>
      <c r="C1033" s="8" t="s">
        <v>5871</v>
      </c>
      <c r="D1033" s="9" t="s">
        <v>3304</v>
      </c>
      <c r="E1033" s="10" t="str">
        <f>HYPERLINK("https://twitter.com/LiISticky/status/1065568403577028613","1065568403577028613")</f>
        <v>1065568403577028613</v>
      </c>
      <c r="F1033" s="11"/>
      <c r="G1033" s="11"/>
      <c r="H1033" s="11"/>
      <c r="I1033" s="12">
        <v>0</v>
      </c>
      <c r="J1033" s="12">
        <v>3</v>
      </c>
      <c r="K1033" s="13" t="str">
        <f t="shared" si="212"/>
        <v>Twitter for Android</v>
      </c>
      <c r="L1033" s="12">
        <v>751</v>
      </c>
      <c r="M1033" s="12">
        <v>245</v>
      </c>
      <c r="N1033" s="12">
        <v>10</v>
      </c>
      <c r="O1033" s="15"/>
      <c r="P1033" s="6">
        <v>43270.132210648153</v>
      </c>
      <c r="Q1033" s="16" t="s">
        <v>5872</v>
      </c>
      <c r="R1033" s="17" t="s">
        <v>5873</v>
      </c>
      <c r="S1033" s="14" t="s">
        <v>5874</v>
      </c>
      <c r="T1033" s="11"/>
      <c r="U1033" s="10" t="str">
        <f>HYPERLINK("https://pbs.twimg.com/profile_images/1064990313654165505/ihIKdoux.jpg","View")</f>
        <v>View</v>
      </c>
    </row>
    <row r="1034" spans="1:21" ht="30.6">
      <c r="A1034" s="6">
        <v>43426.146307870367</v>
      </c>
      <c r="B1034" s="7" t="str">
        <f>HYPERLINK("https://twitter.com/miko_azuki","@miko_azuki")</f>
        <v>@miko_azuki</v>
      </c>
      <c r="C1034" s="8" t="s">
        <v>5875</v>
      </c>
      <c r="D1034" s="9" t="s">
        <v>3304</v>
      </c>
      <c r="E1034" s="10" t="str">
        <f>HYPERLINK("https://twitter.com/miko_azuki/status/1065568245988671494","1065568245988671494")</f>
        <v>1065568245988671494</v>
      </c>
      <c r="F1034" s="11"/>
      <c r="G1034" s="11"/>
      <c r="H1034" s="11"/>
      <c r="I1034" s="12">
        <v>4</v>
      </c>
      <c r="J1034" s="12">
        <v>10</v>
      </c>
      <c r="K1034" s="13" t="str">
        <f t="shared" si="212"/>
        <v>Twitter for Android</v>
      </c>
      <c r="L1034" s="12">
        <v>1046</v>
      </c>
      <c r="M1034" s="12">
        <v>477</v>
      </c>
      <c r="N1034" s="12">
        <v>0</v>
      </c>
      <c r="O1034" s="15"/>
      <c r="P1034" s="6">
        <v>42710.640543981484</v>
      </c>
      <c r="Q1034" s="11"/>
      <c r="R1034" s="17" t="s">
        <v>5876</v>
      </c>
      <c r="S1034" s="11"/>
      <c r="T1034" s="11"/>
      <c r="U1034" s="10" t="str">
        <f>HYPERLINK("https://pbs.twimg.com/profile_images/1065331005702180871/dzaWnVV_.jpg","View")</f>
        <v>View</v>
      </c>
    </row>
    <row r="1035" spans="1:21" ht="40.799999999999997">
      <c r="A1035" s="6">
        <v>43426.145787037036</v>
      </c>
      <c r="B1035" s="7" t="str">
        <f>HYPERLINK("https://twitter.com/VictorSerraR","@VictorSerraR")</f>
        <v>@VictorSerraR</v>
      </c>
      <c r="C1035" s="8" t="s">
        <v>2341</v>
      </c>
      <c r="D1035" s="9" t="s">
        <v>2342</v>
      </c>
      <c r="E1035" s="10" t="str">
        <f>HYPERLINK("https://twitter.com/VictorSerraR/status/1065568054602579968","1065568054602579968")</f>
        <v>1065568054602579968</v>
      </c>
      <c r="F1035" s="16" t="s">
        <v>2343</v>
      </c>
      <c r="G1035" s="11"/>
      <c r="H1035" s="11"/>
      <c r="I1035" s="12">
        <v>0</v>
      </c>
      <c r="J1035" s="12">
        <v>0</v>
      </c>
      <c r="K1035" s="13" t="str">
        <f t="shared" si="212"/>
        <v>Twitter for Android</v>
      </c>
      <c r="L1035" s="12">
        <v>2968</v>
      </c>
      <c r="M1035" s="12">
        <v>3278</v>
      </c>
      <c r="N1035" s="12">
        <v>48</v>
      </c>
      <c r="O1035" s="15"/>
      <c r="P1035" s="6">
        <v>40200.481608796297</v>
      </c>
      <c r="Q1035" s="16" t="s">
        <v>2344</v>
      </c>
      <c r="R1035" s="17" t="s">
        <v>2345</v>
      </c>
      <c r="S1035" s="11"/>
      <c r="T1035" s="11"/>
      <c r="U1035" s="10" t="str">
        <f>HYPERLINK("https://pbs.twimg.com/profile_images/1015746669126746112/Wxwq7saO.jpg","View")</f>
        <v>View</v>
      </c>
    </row>
    <row r="1036" spans="1:21" ht="20.399999999999999">
      <c r="A1036" s="6">
        <v>43426.14267361111</v>
      </c>
      <c r="B1036" s="7" t="str">
        <f>HYPERLINK("https://twitter.com/ACADEMIA15M","@ACADEMIA15M")</f>
        <v>@ACADEMIA15M</v>
      </c>
      <c r="C1036" s="8" t="s">
        <v>5877</v>
      </c>
      <c r="D1036" s="9" t="s">
        <v>5878</v>
      </c>
      <c r="E1036" s="10" t="str">
        <f>HYPERLINK("https://twitter.com/ACADEMIA15M/status/1065566929333694464","1065566929333694464")</f>
        <v>1065566929333694464</v>
      </c>
      <c r="F1036" s="16" t="s">
        <v>5879</v>
      </c>
      <c r="G1036" s="11"/>
      <c r="H1036" s="11"/>
      <c r="I1036" s="12">
        <v>0</v>
      </c>
      <c r="J1036" s="12">
        <v>1</v>
      </c>
      <c r="K1036" s="13" t="str">
        <f>HYPERLINK("http://nuzzel.com/","Nuzzel")</f>
        <v>Nuzzel</v>
      </c>
      <c r="L1036" s="12">
        <v>1086</v>
      </c>
      <c r="M1036" s="12">
        <v>1485</v>
      </c>
      <c r="N1036" s="12">
        <v>49</v>
      </c>
      <c r="O1036" s="15"/>
      <c r="P1036" s="6">
        <v>40783.232094907406</v>
      </c>
      <c r="Q1036" s="16" t="s">
        <v>5880</v>
      </c>
      <c r="R1036" s="17" t="s">
        <v>5881</v>
      </c>
      <c r="S1036" s="14" t="s">
        <v>5882</v>
      </c>
      <c r="T1036" s="11"/>
      <c r="U1036" s="10" t="str">
        <f>HYPERLINK("https://pbs.twimg.com/profile_images/1517319155/lectura1.png","View")</f>
        <v>View</v>
      </c>
    </row>
    <row r="1037" spans="1:21" ht="30.6">
      <c r="A1037" s="6">
        <v>43426.141805555555</v>
      </c>
      <c r="B1037" s="7" t="str">
        <f>HYPERLINK("https://twitter.com/Marcelena46","@Marcelena46")</f>
        <v>@Marcelena46</v>
      </c>
      <c r="C1037" s="8" t="s">
        <v>2348</v>
      </c>
      <c r="D1037" s="9" t="s">
        <v>2349</v>
      </c>
      <c r="E1037" s="10" t="str">
        <f>HYPERLINK("https://twitter.com/Marcelena46/status/1065566614635118592","1065566614635118592")</f>
        <v>1065566614635118592</v>
      </c>
      <c r="F1037" s="11"/>
      <c r="G1037" s="14" t="s">
        <v>2350</v>
      </c>
      <c r="H1037" s="11"/>
      <c r="I1037" s="12">
        <v>0</v>
      </c>
      <c r="J1037" s="12">
        <v>2</v>
      </c>
      <c r="K1037" s="13" t="str">
        <f>HYPERLINK("http://twitter.com/download/android","Twitter for Android")</f>
        <v>Twitter for Android</v>
      </c>
      <c r="L1037" s="12">
        <v>408</v>
      </c>
      <c r="M1037" s="12">
        <v>253</v>
      </c>
      <c r="N1037" s="12">
        <v>8</v>
      </c>
      <c r="O1037" s="15"/>
      <c r="P1037" s="6">
        <v>40661.46665509259</v>
      </c>
      <c r="Q1037" s="16" t="s">
        <v>93</v>
      </c>
      <c r="R1037" s="17" t="s">
        <v>2351</v>
      </c>
      <c r="S1037" s="11"/>
      <c r="T1037" s="11"/>
      <c r="U1037" s="10" t="str">
        <f>HYPERLINK("https://pbs.twimg.com/profile_images/1031717290868461568/uCNdl-E3.jpg","View")</f>
        <v>View</v>
      </c>
    </row>
    <row r="1038" spans="1:21" ht="71.400000000000006">
      <c r="A1038" s="6">
        <v>43426.141562500001</v>
      </c>
      <c r="B1038" s="7" t="str">
        <f>HYPERLINK("https://twitter.com/Juanquinnones","@Juanquinnones")</f>
        <v>@Juanquinnones</v>
      </c>
      <c r="C1038" s="8" t="s">
        <v>1147</v>
      </c>
      <c r="D1038" s="9" t="s">
        <v>5883</v>
      </c>
      <c r="E1038" s="10" t="str">
        <f>HYPERLINK("https://twitter.com/Juanquinnones/status/1065566526663729152","1065566526663729152")</f>
        <v>1065566526663729152</v>
      </c>
      <c r="F1038" s="16" t="s">
        <v>1742</v>
      </c>
      <c r="G1038" s="14" t="s">
        <v>1431</v>
      </c>
      <c r="H1038" s="11"/>
      <c r="I1038" s="12">
        <v>0</v>
      </c>
      <c r="J1038" s="12">
        <v>1</v>
      </c>
      <c r="K1038" s="13" t="str">
        <f>HYPERLINK("http://twitter.com/download/iphone","Twitter for iPhone")</f>
        <v>Twitter for iPhone</v>
      </c>
      <c r="L1038" s="12">
        <v>507</v>
      </c>
      <c r="M1038" s="12">
        <v>2419</v>
      </c>
      <c r="N1038" s="12">
        <v>6</v>
      </c>
      <c r="O1038" s="15"/>
      <c r="P1038" s="6">
        <v>40573.616979166669</v>
      </c>
      <c r="Q1038" s="16" t="s">
        <v>1152</v>
      </c>
      <c r="R1038" s="17" t="s">
        <v>1153</v>
      </c>
      <c r="S1038" s="11"/>
      <c r="T1038" s="11"/>
      <c r="U1038" s="10" t="str">
        <f>HYPERLINK("https://pbs.twimg.com/profile_images/998109964164984834/RS1ue5fU.jpg","View")</f>
        <v>View</v>
      </c>
    </row>
    <row r="1039" spans="1:21" ht="40.799999999999997">
      <c r="A1039" s="6">
        <v>43426.140833333338</v>
      </c>
      <c r="B1039" s="7" t="str">
        <f>HYPERLINK("https://twitter.com/josemi2x","@josemi2x")</f>
        <v>@josemi2x</v>
      </c>
      <c r="C1039" s="8" t="s">
        <v>5884</v>
      </c>
      <c r="D1039" s="9" t="s">
        <v>5885</v>
      </c>
      <c r="E1039" s="10" t="str">
        <f>HYPERLINK("https://twitter.com/josemi2x/status/1065566262665900033","1065566262665900033")</f>
        <v>1065566262665900033</v>
      </c>
      <c r="F1039" s="11"/>
      <c r="G1039" s="11"/>
      <c r="H1039" s="11"/>
      <c r="I1039" s="12">
        <v>0</v>
      </c>
      <c r="J1039" s="12">
        <v>0</v>
      </c>
      <c r="K1039" s="13" t="str">
        <f>HYPERLINK("http://twitter.com/download/android","Twitter for Android")</f>
        <v>Twitter for Android</v>
      </c>
      <c r="L1039" s="12">
        <v>686</v>
      </c>
      <c r="M1039" s="12">
        <v>82</v>
      </c>
      <c r="N1039" s="12">
        <v>104</v>
      </c>
      <c r="O1039" s="15"/>
      <c r="P1039" s="6">
        <v>41668.23678240741</v>
      </c>
      <c r="Q1039" s="11"/>
      <c r="R1039" s="17" t="s">
        <v>5886</v>
      </c>
      <c r="S1039" s="11"/>
      <c r="T1039" s="11"/>
      <c r="U1039" s="10" t="str">
        <f>HYPERLINK("https://pbs.twimg.com/profile_images/1029415174988595200/4HrHVlnw.jpg","View")</f>
        <v>View</v>
      </c>
    </row>
    <row r="1040" spans="1:21" ht="61.2">
      <c r="A1040" s="6">
        <v>43426.140173611115</v>
      </c>
      <c r="B1040" s="7" t="str">
        <f>HYPERLINK("https://twitter.com/SantyFRM","@SantyFRM")</f>
        <v>@SantyFRM</v>
      </c>
      <c r="C1040" s="8" t="s">
        <v>2354</v>
      </c>
      <c r="D1040" s="9" t="s">
        <v>2355</v>
      </c>
      <c r="E1040" s="10" t="str">
        <f>HYPERLINK("https://twitter.com/SantyFRM/status/1065566020784533504","1065566020784533504")</f>
        <v>1065566020784533504</v>
      </c>
      <c r="F1040" s="14" t="s">
        <v>2356</v>
      </c>
      <c r="G1040" s="14" t="s">
        <v>2357</v>
      </c>
      <c r="H1040" s="11"/>
      <c r="I1040" s="12">
        <v>0</v>
      </c>
      <c r="J1040" s="12">
        <v>0</v>
      </c>
      <c r="K1040" s="13" t="str">
        <f>HYPERLINK("http://twitter.com/download/iphone","Twitter for iPhone")</f>
        <v>Twitter for iPhone</v>
      </c>
      <c r="L1040" s="12">
        <v>549</v>
      </c>
      <c r="M1040" s="12">
        <v>296</v>
      </c>
      <c r="N1040" s="12">
        <v>7</v>
      </c>
      <c r="O1040" s="15"/>
      <c r="P1040" s="6">
        <v>40935.378541666665</v>
      </c>
      <c r="Q1040" s="16" t="s">
        <v>2359</v>
      </c>
      <c r="R1040" s="17" t="s">
        <v>2360</v>
      </c>
      <c r="S1040" s="11"/>
      <c r="T1040" s="11"/>
      <c r="U1040" s="10" t="str">
        <f>HYPERLINK("https://pbs.twimg.com/profile_images/467733875406700544/oKDeXKiI.jpeg","View")</f>
        <v>View</v>
      </c>
    </row>
    <row r="1041" spans="1:21" ht="30.6">
      <c r="A1041" s="6">
        <v>43426.138958333337</v>
      </c>
      <c r="B1041" s="7" t="str">
        <f>HYPERLINK("https://twitter.com/ropavieja94","@ropavieja94")</f>
        <v>@ropavieja94</v>
      </c>
      <c r="C1041" s="8" t="s">
        <v>5887</v>
      </c>
      <c r="D1041" s="9" t="s">
        <v>5888</v>
      </c>
      <c r="E1041" s="10" t="str">
        <f>HYPERLINK("https://twitter.com/ropavieja94/status/1065565582647615488","1065565582647615488")</f>
        <v>1065565582647615488</v>
      </c>
      <c r="F1041" s="11"/>
      <c r="G1041" s="14" t="s">
        <v>5889</v>
      </c>
      <c r="H1041" s="11"/>
      <c r="I1041" s="12">
        <v>0</v>
      </c>
      <c r="J1041" s="12">
        <v>0</v>
      </c>
      <c r="K1041" s="13" t="str">
        <f>HYPERLINK("http://twitter.com/download/android","Twitter for Android")</f>
        <v>Twitter for Android</v>
      </c>
      <c r="L1041" s="12">
        <v>27903</v>
      </c>
      <c r="M1041" s="12">
        <v>18015</v>
      </c>
      <c r="N1041" s="12">
        <v>105</v>
      </c>
      <c r="O1041" s="15"/>
      <c r="P1041" s="6">
        <v>40888.363680555558</v>
      </c>
      <c r="Q1041" s="16" t="s">
        <v>5890</v>
      </c>
      <c r="R1041" s="17" t="s">
        <v>5891</v>
      </c>
      <c r="S1041" s="14" t="s">
        <v>5892</v>
      </c>
      <c r="T1041" s="11"/>
      <c r="U1041" s="10" t="str">
        <f>HYPERLINK("https://pbs.twimg.com/profile_images/1062380930101374977/8bU7Aopc.jpg","View")</f>
        <v>View</v>
      </c>
    </row>
    <row r="1042" spans="1:21" ht="40.799999999999997">
      <c r="A1042" s="6">
        <v>43426.138472222221</v>
      </c>
      <c r="B1042" s="7" t="str">
        <f>HYPERLINK("https://twitter.com/antroperplejo","@antroperplejo")</f>
        <v>@antroperplejo</v>
      </c>
      <c r="C1042" s="8" t="s">
        <v>5893</v>
      </c>
      <c r="D1042" s="9" t="s">
        <v>768</v>
      </c>
      <c r="E1042" s="10" t="str">
        <f>HYPERLINK("https://twitter.com/antroperplejo/status/1065565404033150977","1065565404033150977")</f>
        <v>1065565404033150977</v>
      </c>
      <c r="F1042" s="14" t="s">
        <v>529</v>
      </c>
      <c r="G1042" s="11"/>
      <c r="H1042" s="11"/>
      <c r="I1042" s="12">
        <v>0</v>
      </c>
      <c r="J1042" s="12">
        <v>0</v>
      </c>
      <c r="K1042" s="13" t="str">
        <f t="shared" ref="K1042:K1044" si="213">HYPERLINK("http://twitter.com","Twitter Web Client")</f>
        <v>Twitter Web Client</v>
      </c>
      <c r="L1042" s="12">
        <v>2204</v>
      </c>
      <c r="M1042" s="12">
        <v>2996</v>
      </c>
      <c r="N1042" s="12">
        <v>55</v>
      </c>
      <c r="O1042" s="15"/>
      <c r="P1042" s="6">
        <v>40623.402766203704</v>
      </c>
      <c r="Q1042" s="16" t="s">
        <v>833</v>
      </c>
      <c r="R1042" s="17" t="s">
        <v>5894</v>
      </c>
      <c r="S1042" s="14" t="s">
        <v>5895</v>
      </c>
      <c r="T1042" s="11"/>
      <c r="U1042" s="10" t="str">
        <f>HYPERLINK("https://pbs.twimg.com/profile_images/1042311015902453760/CDKGsQaX.jpg","View")</f>
        <v>View</v>
      </c>
    </row>
    <row r="1043" spans="1:21" ht="51">
      <c r="A1043" s="6">
        <v>43426.138425925921</v>
      </c>
      <c r="B1043" s="7" t="str">
        <f>HYPERLINK("https://twitter.com/RitaBosaho","@RitaBosaho")</f>
        <v>@RitaBosaho</v>
      </c>
      <c r="C1043" s="8" t="s">
        <v>2362</v>
      </c>
      <c r="D1043" s="9" t="s">
        <v>2363</v>
      </c>
      <c r="E1043" s="10" t="str">
        <f>HYPERLINK("https://twitter.com/RitaBosaho/status/1065565388010868736","1065565388010868736")</f>
        <v>1065565388010868736</v>
      </c>
      <c r="F1043" s="11"/>
      <c r="G1043" s="14" t="s">
        <v>2364</v>
      </c>
      <c r="H1043" s="11"/>
      <c r="I1043" s="12">
        <v>12</v>
      </c>
      <c r="J1043" s="12">
        <v>14</v>
      </c>
      <c r="K1043" s="13" t="str">
        <f t="shared" si="213"/>
        <v>Twitter Web Client</v>
      </c>
      <c r="L1043" s="12">
        <v>8284</v>
      </c>
      <c r="M1043" s="12">
        <v>1431</v>
      </c>
      <c r="N1043" s="12">
        <v>160</v>
      </c>
      <c r="O1043" s="18" t="s">
        <v>52</v>
      </c>
      <c r="P1043" s="6">
        <v>42141.123773148152</v>
      </c>
      <c r="Q1043" s="16" t="s">
        <v>822</v>
      </c>
      <c r="R1043" s="17" t="s">
        <v>2365</v>
      </c>
      <c r="S1043" s="14" t="s">
        <v>58</v>
      </c>
      <c r="T1043" s="11"/>
      <c r="U1043" s="10" t="str">
        <f>HYPERLINK("https://pbs.twimg.com/profile_images/972553563720376320/QlnAsa4u.jpg","View")</f>
        <v>View</v>
      </c>
    </row>
    <row r="1044" spans="1:21" ht="51">
      <c r="A1044" s="6">
        <v>43426.136990740742</v>
      </c>
      <c r="B1044" s="7" t="str">
        <f>HYPERLINK("https://twitter.com/AlbuerneV","@AlbuerneV")</f>
        <v>@AlbuerneV</v>
      </c>
      <c r="C1044" s="8" t="s">
        <v>2368</v>
      </c>
      <c r="D1044" s="9" t="s">
        <v>2369</v>
      </c>
      <c r="E1044" s="10" t="str">
        <f>HYPERLINK("https://twitter.com/AlbuerneV/status/1065564870073098241","1065564870073098241")</f>
        <v>1065564870073098241</v>
      </c>
      <c r="F1044" s="14" t="s">
        <v>96</v>
      </c>
      <c r="G1044" s="11"/>
      <c r="H1044" s="11"/>
      <c r="I1044" s="12">
        <v>0</v>
      </c>
      <c r="J1044" s="12">
        <v>0</v>
      </c>
      <c r="K1044" s="13" t="str">
        <f t="shared" si="213"/>
        <v>Twitter Web Client</v>
      </c>
      <c r="L1044" s="12">
        <v>42</v>
      </c>
      <c r="M1044" s="12">
        <v>100</v>
      </c>
      <c r="N1044" s="12">
        <v>2</v>
      </c>
      <c r="O1044" s="15"/>
      <c r="P1044" s="6">
        <v>40783.592106481483</v>
      </c>
      <c r="Q1044" s="16" t="s">
        <v>388</v>
      </c>
      <c r="R1044" s="17" t="s">
        <v>2371</v>
      </c>
      <c r="S1044" s="11"/>
      <c r="T1044" s="11"/>
      <c r="U1044" s="10" t="str">
        <f>HYPERLINK("https://pbs.twimg.com/profile_images/1517986228/104_0432.jpeg","View")</f>
        <v>View</v>
      </c>
    </row>
    <row r="1045" spans="1:21" ht="40.799999999999997">
      <c r="A1045" s="6">
        <v>43426.136701388888</v>
      </c>
      <c r="B1045" s="7" t="str">
        <f>HYPERLINK("https://twitter.com/TomasFTerrados","@TomasFTerrados")</f>
        <v>@TomasFTerrados</v>
      </c>
      <c r="C1045" s="8" t="s">
        <v>5896</v>
      </c>
      <c r="D1045" s="9" t="s">
        <v>5897</v>
      </c>
      <c r="E1045" s="10" t="str">
        <f>HYPERLINK("https://twitter.com/TomasFTerrados/status/1065564763483181056","1065564763483181056")</f>
        <v>1065564763483181056</v>
      </c>
      <c r="F1045" s="11"/>
      <c r="G1045" s="11"/>
      <c r="H1045" s="11"/>
      <c r="I1045" s="12">
        <v>1</v>
      </c>
      <c r="J1045" s="12">
        <v>0</v>
      </c>
      <c r="K1045" s="13" t="str">
        <f>HYPERLINK("http://twitter.com/download/android","Twitter for Android")</f>
        <v>Twitter for Android</v>
      </c>
      <c r="L1045" s="12">
        <v>4567</v>
      </c>
      <c r="M1045" s="12">
        <v>4560</v>
      </c>
      <c r="N1045" s="12">
        <v>73</v>
      </c>
      <c r="O1045" s="15"/>
      <c r="P1045" s="6">
        <v>40822.148576388892</v>
      </c>
      <c r="Q1045" s="16" t="s">
        <v>5898</v>
      </c>
      <c r="R1045" s="17" t="s">
        <v>5899</v>
      </c>
      <c r="S1045" s="11"/>
      <c r="T1045" s="11"/>
      <c r="U1045" s="10" t="str">
        <f>HYPERLINK("https://pbs.twimg.com/profile_images/378800000551806772/07aba98259821929ac2bccc43572628d.jpeg","View")</f>
        <v>View</v>
      </c>
    </row>
    <row r="1046" spans="1:21" ht="40.799999999999997">
      <c r="A1046" s="6">
        <v>43426.134641203702</v>
      </c>
      <c r="B1046" s="7" t="str">
        <f>HYPERLINK("https://twitter.com/AlbuerneV","@AlbuerneV")</f>
        <v>@AlbuerneV</v>
      </c>
      <c r="C1046" s="8" t="s">
        <v>2368</v>
      </c>
      <c r="D1046" s="9" t="s">
        <v>2372</v>
      </c>
      <c r="E1046" s="10" t="str">
        <f>HYPERLINK("https://twitter.com/AlbuerneV/status/1065564016813195264","1065564016813195264")</f>
        <v>1065564016813195264</v>
      </c>
      <c r="F1046" s="14" t="s">
        <v>96</v>
      </c>
      <c r="G1046" s="11"/>
      <c r="H1046" s="11"/>
      <c r="I1046" s="12">
        <v>0</v>
      </c>
      <c r="J1046" s="12">
        <v>0</v>
      </c>
      <c r="K1046" s="13" t="str">
        <f>HYPERLINK("http://twitter.com","Twitter Web Client")</f>
        <v>Twitter Web Client</v>
      </c>
      <c r="L1046" s="12">
        <v>42</v>
      </c>
      <c r="M1046" s="12">
        <v>100</v>
      </c>
      <c r="N1046" s="12">
        <v>2</v>
      </c>
      <c r="O1046" s="15"/>
      <c r="P1046" s="6">
        <v>40783.592106481483</v>
      </c>
      <c r="Q1046" s="16" t="s">
        <v>388</v>
      </c>
      <c r="R1046" s="17" t="s">
        <v>2371</v>
      </c>
      <c r="S1046" s="11"/>
      <c r="T1046" s="11"/>
      <c r="U1046" s="10" t="str">
        <f>HYPERLINK("https://pbs.twimg.com/profile_images/1517986228/104_0432.jpeg","View")</f>
        <v>View</v>
      </c>
    </row>
    <row r="1047" spans="1:21" ht="71.400000000000006">
      <c r="A1047" s="6">
        <v>43426.134247685186</v>
      </c>
      <c r="B1047" s="7" t="str">
        <f>HYPERLINK("https://twitter.com/EsMaimona","@EsMaimona")</f>
        <v>@EsMaimona</v>
      </c>
      <c r="C1047" s="8" t="s">
        <v>2178</v>
      </c>
      <c r="D1047" s="9" t="s">
        <v>2375</v>
      </c>
      <c r="E1047" s="10" t="str">
        <f>HYPERLINK("https://twitter.com/EsMaimona/status/1065563876299874304","1065563876299874304")</f>
        <v>1065563876299874304</v>
      </c>
      <c r="F1047" s="16" t="s">
        <v>2377</v>
      </c>
      <c r="G1047" s="11"/>
      <c r="H1047" s="11"/>
      <c r="I1047" s="12">
        <v>0</v>
      </c>
      <c r="J1047" s="12">
        <v>0</v>
      </c>
      <c r="K1047" s="13" t="str">
        <f t="shared" ref="K1047:K1048" si="214">HYPERLINK("http://twitter.com/download/android","Twitter for Android")</f>
        <v>Twitter for Android</v>
      </c>
      <c r="L1047" s="12">
        <v>80</v>
      </c>
      <c r="M1047" s="12">
        <v>551</v>
      </c>
      <c r="N1047" s="12">
        <v>4</v>
      </c>
      <c r="O1047" s="15"/>
      <c r="P1047" s="6">
        <v>43405.172986111109</v>
      </c>
      <c r="Q1047" s="11"/>
      <c r="R1047" s="17" t="s">
        <v>2183</v>
      </c>
      <c r="S1047" s="11"/>
      <c r="T1047" s="11"/>
      <c r="U1047" s="10" t="str">
        <f>HYPERLINK("https://pbs.twimg.com/profile_images/1057955020501630976/fvuF7e1s.jpg","View")</f>
        <v>View</v>
      </c>
    </row>
    <row r="1048" spans="1:21" ht="51">
      <c r="A1048" s="6">
        <v>43426.132615740746</v>
      </c>
      <c r="B1048" s="7" t="str">
        <f>HYPERLINK("https://twitter.com/miquelpuente","@miquelpuente")</f>
        <v>@miquelpuente</v>
      </c>
      <c r="C1048" s="8" t="s">
        <v>2378</v>
      </c>
      <c r="D1048" s="9" t="s">
        <v>2379</v>
      </c>
      <c r="E1048" s="10" t="str">
        <f>HYPERLINK("https://twitter.com/miquelpuente/status/1065563283820879872","1065563283820879872")</f>
        <v>1065563283820879872</v>
      </c>
      <c r="F1048" s="14" t="s">
        <v>96</v>
      </c>
      <c r="G1048" s="11"/>
      <c r="H1048" s="11"/>
      <c r="I1048" s="12">
        <v>1</v>
      </c>
      <c r="J1048" s="12">
        <v>0</v>
      </c>
      <c r="K1048" s="13" t="str">
        <f t="shared" si="214"/>
        <v>Twitter for Android</v>
      </c>
      <c r="L1048" s="12">
        <v>2185</v>
      </c>
      <c r="M1048" s="12">
        <v>1306</v>
      </c>
      <c r="N1048" s="12">
        <v>50</v>
      </c>
      <c r="O1048" s="15"/>
      <c r="P1048" s="6">
        <v>40248.157905092594</v>
      </c>
      <c r="Q1048" s="16" t="s">
        <v>256</v>
      </c>
      <c r="R1048" s="17" t="s">
        <v>2381</v>
      </c>
      <c r="S1048" s="11"/>
      <c r="T1048" s="11"/>
      <c r="U1048" s="10" t="str">
        <f>HYPERLINK("https://pbs.twimg.com/profile_images/559972672185335808/qPj-e9UT.jpeg","View")</f>
        <v>View</v>
      </c>
    </row>
    <row r="1049" spans="1:21" ht="51">
      <c r="A1049" s="6">
        <v>43426.132523148146</v>
      </c>
      <c r="B1049" s="7" t="str">
        <f>HYPERLINK("https://twitter.com/AlbuerneV","@AlbuerneV")</f>
        <v>@AlbuerneV</v>
      </c>
      <c r="C1049" s="8" t="s">
        <v>2368</v>
      </c>
      <c r="D1049" s="9" t="s">
        <v>2383</v>
      </c>
      <c r="E1049" s="10" t="str">
        <f>HYPERLINK("https://twitter.com/AlbuerneV/status/1065563249528197120","1065563249528197120")</f>
        <v>1065563249528197120</v>
      </c>
      <c r="F1049" s="14" t="s">
        <v>96</v>
      </c>
      <c r="G1049" s="11"/>
      <c r="H1049" s="11"/>
      <c r="I1049" s="12">
        <v>0</v>
      </c>
      <c r="J1049" s="12">
        <v>0</v>
      </c>
      <c r="K1049" s="13" t="str">
        <f>HYPERLINK("http://twitter.com","Twitter Web Client")</f>
        <v>Twitter Web Client</v>
      </c>
      <c r="L1049" s="12">
        <v>42</v>
      </c>
      <c r="M1049" s="12">
        <v>100</v>
      </c>
      <c r="N1049" s="12">
        <v>2</v>
      </c>
      <c r="O1049" s="15"/>
      <c r="P1049" s="6">
        <v>40783.592106481483</v>
      </c>
      <c r="Q1049" s="16" t="s">
        <v>388</v>
      </c>
      <c r="R1049" s="17" t="s">
        <v>2371</v>
      </c>
      <c r="S1049" s="11"/>
      <c r="T1049" s="11"/>
      <c r="U1049" s="10" t="str">
        <f>HYPERLINK("https://pbs.twimg.com/profile_images/1517986228/104_0432.jpeg","View")</f>
        <v>View</v>
      </c>
    </row>
    <row r="1050" spans="1:21" ht="30.6">
      <c r="A1050" s="6">
        <v>43426.1324537037</v>
      </c>
      <c r="B1050" s="7" t="str">
        <f>HYPERLINK("https://twitter.com/joseantoniogo43","@joseantoniogo43")</f>
        <v>@joseantoniogo43</v>
      </c>
      <c r="C1050" s="8" t="s">
        <v>5900</v>
      </c>
      <c r="D1050" s="9" t="s">
        <v>1573</v>
      </c>
      <c r="E1050" s="10" t="str">
        <f>HYPERLINK("https://twitter.com/joseantoniogo43/status/1065563225897541633","1065563225897541633")</f>
        <v>1065563225897541633</v>
      </c>
      <c r="F1050" s="14" t="s">
        <v>1316</v>
      </c>
      <c r="G1050" s="11"/>
      <c r="H1050" s="11"/>
      <c r="I1050" s="12">
        <v>0</v>
      </c>
      <c r="J1050" s="12">
        <v>0</v>
      </c>
      <c r="K1050" s="13" t="str">
        <f>HYPERLINK("http://twitter.com/download/android","Twitter for Android")</f>
        <v>Twitter for Android</v>
      </c>
      <c r="L1050" s="12">
        <v>4100</v>
      </c>
      <c r="M1050" s="12">
        <v>4242</v>
      </c>
      <c r="N1050" s="12">
        <v>39</v>
      </c>
      <c r="O1050" s="15"/>
      <c r="P1050" s="6">
        <v>40845.120509259257</v>
      </c>
      <c r="Q1050" s="11"/>
      <c r="R1050" s="19"/>
      <c r="S1050" s="11"/>
      <c r="T1050" s="11"/>
      <c r="U1050" s="10" t="str">
        <f>HYPERLINK("https://pbs.twimg.com/profile_images/3576388686/a66d7c55b1a8af804079aea3e66d3f4f.jpeg","View")</f>
        <v>View</v>
      </c>
    </row>
    <row r="1051" spans="1:21" ht="30.6">
      <c r="A1051" s="6">
        <v>43426.132048611107</v>
      </c>
      <c r="B1051" s="7" t="str">
        <f>HYPERLINK("https://twitter.com/PodemosSanlo","@PodemosSanlo")</f>
        <v>@PodemosSanlo</v>
      </c>
      <c r="C1051" s="8" t="s">
        <v>5901</v>
      </c>
      <c r="D1051" s="9" t="s">
        <v>5902</v>
      </c>
      <c r="E1051" s="10" t="str">
        <f>HYPERLINK("https://twitter.com/PodemosSanlo/status/1065563078413168640","1065563078413168640")</f>
        <v>1065563078413168640</v>
      </c>
      <c r="F1051" s="14" t="s">
        <v>5903</v>
      </c>
      <c r="G1051" s="11"/>
      <c r="H1051" s="11"/>
      <c r="I1051" s="12">
        <v>0</v>
      </c>
      <c r="J1051" s="12">
        <v>0</v>
      </c>
      <c r="K1051" s="13" t="str">
        <f>HYPERLINK("https://www.hootsuite.com","Hootsuite Inc.")</f>
        <v>Hootsuite Inc.</v>
      </c>
      <c r="L1051" s="12">
        <v>303</v>
      </c>
      <c r="M1051" s="12">
        <v>454</v>
      </c>
      <c r="N1051" s="12">
        <v>6</v>
      </c>
      <c r="O1051" s="15"/>
      <c r="P1051" s="6">
        <v>42285.239965277782</v>
      </c>
      <c r="Q1051" s="16" t="s">
        <v>5904</v>
      </c>
      <c r="R1051" s="19"/>
      <c r="S1051" s="11"/>
      <c r="T1051" s="11"/>
      <c r="U1051" s="10" t="str">
        <f>HYPERLINK("https://pbs.twimg.com/profile_images/1037056798765854724/bWVz_rcQ.jpg","View")</f>
        <v>View</v>
      </c>
    </row>
    <row r="1052" spans="1:21" ht="40.799999999999997">
      <c r="A1052" s="6">
        <v>43426.132025462968</v>
      </c>
      <c r="B1052" s="7" t="str">
        <f>HYPERLINK("https://twitter.com/GuilleSnchez9","@GuilleSnchez9")</f>
        <v>@GuilleSnchez9</v>
      </c>
      <c r="C1052" s="8" t="s">
        <v>2387</v>
      </c>
      <c r="D1052" s="9" t="s">
        <v>2388</v>
      </c>
      <c r="E1052" s="10" t="str">
        <f>HYPERLINK("https://twitter.com/GuilleSnchez9/status/1065563068598534144","1065563068598534144")</f>
        <v>1065563068598534144</v>
      </c>
      <c r="F1052" s="14" t="s">
        <v>529</v>
      </c>
      <c r="G1052" s="11"/>
      <c r="H1052" s="11"/>
      <c r="I1052" s="12">
        <v>0</v>
      </c>
      <c r="J1052" s="12">
        <v>0</v>
      </c>
      <c r="K1052" s="13" t="str">
        <f>HYPERLINK("http://twitter.com/download/android","Twitter for Android")</f>
        <v>Twitter for Android</v>
      </c>
      <c r="L1052" s="12">
        <v>3</v>
      </c>
      <c r="M1052" s="12">
        <v>73</v>
      </c>
      <c r="N1052" s="12">
        <v>0</v>
      </c>
      <c r="O1052" s="15"/>
      <c r="P1052" s="6">
        <v>43407.622476851851</v>
      </c>
      <c r="Q1052" s="16" t="s">
        <v>2389</v>
      </c>
      <c r="R1052" s="19"/>
      <c r="S1052" s="11"/>
      <c r="T1052" s="11"/>
      <c r="U1052" s="18" t="s">
        <v>168</v>
      </c>
    </row>
    <row r="1053" spans="1:21" ht="30.6">
      <c r="A1053" s="6">
        <v>43426.130555555559</v>
      </c>
      <c r="B1053" s="7" t="str">
        <f>HYPERLINK("https://twitter.com/pulposaurus","@pulposaurus")</f>
        <v>@pulposaurus</v>
      </c>
      <c r="C1053" s="8" t="s">
        <v>5905</v>
      </c>
      <c r="D1053" s="9" t="s">
        <v>5906</v>
      </c>
      <c r="E1053" s="10" t="str">
        <f>HYPERLINK("https://twitter.com/pulposaurus/status/1065562537205399553","1065562537205399553")</f>
        <v>1065562537205399553</v>
      </c>
      <c r="F1053" s="14" t="s">
        <v>5907</v>
      </c>
      <c r="G1053" s="11"/>
      <c r="H1053" s="11"/>
      <c r="I1053" s="12">
        <v>0</v>
      </c>
      <c r="J1053" s="12">
        <v>1</v>
      </c>
      <c r="K1053" s="13" t="str">
        <f>HYPERLINK("https://curiouscat.me","Curious Cat")</f>
        <v>Curious Cat</v>
      </c>
      <c r="L1053" s="12">
        <v>293</v>
      </c>
      <c r="M1053" s="12">
        <v>294</v>
      </c>
      <c r="N1053" s="12">
        <v>2</v>
      </c>
      <c r="O1053" s="15"/>
      <c r="P1053" s="6">
        <v>41938.552395833336</v>
      </c>
      <c r="Q1053" s="16" t="s">
        <v>5908</v>
      </c>
      <c r="R1053" s="17" t="s">
        <v>5909</v>
      </c>
      <c r="S1053" s="14" t="s">
        <v>5910</v>
      </c>
      <c r="T1053" s="11"/>
      <c r="U1053" s="10" t="str">
        <f>HYPERLINK("https://pbs.twimg.com/profile_images/916436806115176448/U_WrcV2D.jpg","View")</f>
        <v>View</v>
      </c>
    </row>
    <row r="1054" spans="1:21" ht="20.399999999999999">
      <c r="A1054" s="6">
        <v>43426.130011574074</v>
      </c>
      <c r="B1054" s="7" t="str">
        <f>HYPERLINK("https://twitter.com/serra_gara","@serra_gara")</f>
        <v>@serra_gara</v>
      </c>
      <c r="C1054" s="8" t="s">
        <v>5911</v>
      </c>
      <c r="D1054" s="9" t="s">
        <v>768</v>
      </c>
      <c r="E1054" s="10" t="str">
        <f>HYPERLINK("https://twitter.com/serra_gara/status/1065562340521910273","1065562340521910273")</f>
        <v>1065562340521910273</v>
      </c>
      <c r="F1054" s="14" t="s">
        <v>529</v>
      </c>
      <c r="G1054" s="11"/>
      <c r="H1054" s="11"/>
      <c r="I1054" s="12">
        <v>0</v>
      </c>
      <c r="J1054" s="12">
        <v>0</v>
      </c>
      <c r="K1054" s="13" t="str">
        <f>HYPERLINK("http://twitter.com/download/android","Twitter for Android")</f>
        <v>Twitter for Android</v>
      </c>
      <c r="L1054" s="12">
        <v>241</v>
      </c>
      <c r="M1054" s="12">
        <v>754</v>
      </c>
      <c r="N1054" s="12">
        <v>6</v>
      </c>
      <c r="O1054" s="15"/>
      <c r="P1054" s="6">
        <v>42261.053344907406</v>
      </c>
      <c r="Q1054" s="11"/>
      <c r="R1054" s="19"/>
      <c r="S1054" s="11"/>
      <c r="T1054" s="11"/>
      <c r="U1054" s="10" t="str">
        <f>HYPERLINK("https://pbs.twimg.com/profile_images/1041290113949597696/jDC3EqhP.jpg","View")</f>
        <v>View</v>
      </c>
    </row>
    <row r="1055" spans="1:21" ht="30.6">
      <c r="A1055" s="6">
        <v>43426.129849537036</v>
      </c>
      <c r="B1055" s="7" t="str">
        <f>HYPERLINK("https://twitter.com/mrcoopb","@mrcoopb")</f>
        <v>@mrcoopb</v>
      </c>
      <c r="C1055" s="8" t="s">
        <v>5912</v>
      </c>
      <c r="D1055" s="9" t="s">
        <v>5913</v>
      </c>
      <c r="E1055" s="10" t="str">
        <f>HYPERLINK("https://twitter.com/mrcoopb/status/1065562281331826688","1065562281331826688")</f>
        <v>1065562281331826688</v>
      </c>
      <c r="F1055" s="11"/>
      <c r="G1055" s="14" t="s">
        <v>5914</v>
      </c>
      <c r="H1055" s="11"/>
      <c r="I1055" s="12">
        <v>0</v>
      </c>
      <c r="J1055" s="12">
        <v>0</v>
      </c>
      <c r="K1055" s="13" t="str">
        <f>HYPERLINK("https://mobile.twitter.com","Twitter Lite")</f>
        <v>Twitter Lite</v>
      </c>
      <c r="L1055" s="12">
        <v>183</v>
      </c>
      <c r="M1055" s="12">
        <v>734</v>
      </c>
      <c r="N1055" s="12">
        <v>0</v>
      </c>
      <c r="O1055" s="15"/>
      <c r="P1055" s="6">
        <v>42791.0628587963</v>
      </c>
      <c r="Q1055" s="16" t="s">
        <v>93</v>
      </c>
      <c r="R1055" s="17" t="s">
        <v>5915</v>
      </c>
      <c r="S1055" s="11"/>
      <c r="T1055" s="11"/>
      <c r="U1055" s="10" t="str">
        <f>HYPERLINK("https://pbs.twimg.com/profile_images/870585067109744643/FQpCcWcH.jpg","View")</f>
        <v>View</v>
      </c>
    </row>
    <row r="1056" spans="1:21" ht="30.6">
      <c r="A1056" s="6">
        <v>43426.127453703702</v>
      </c>
      <c r="B1056" s="7" t="str">
        <f>HYPERLINK("https://twitter.com/Napaity","@Napaity")</f>
        <v>@Napaity</v>
      </c>
      <c r="C1056" s="8" t="s">
        <v>2390</v>
      </c>
      <c r="D1056" s="9" t="s">
        <v>2391</v>
      </c>
      <c r="E1056" s="10" t="str">
        <f>HYPERLINK("https://twitter.com/Napaity/status/1065561411517071360","1065561411517071360")</f>
        <v>1065561411517071360</v>
      </c>
      <c r="F1056" s="11"/>
      <c r="G1056" s="11"/>
      <c r="H1056" s="11"/>
      <c r="I1056" s="12">
        <v>0</v>
      </c>
      <c r="J1056" s="12">
        <v>0</v>
      </c>
      <c r="K1056" s="13" t="str">
        <f>HYPERLINK("http://twitter.com/download/android","Twitter for Android")</f>
        <v>Twitter for Android</v>
      </c>
      <c r="L1056" s="12">
        <v>32</v>
      </c>
      <c r="M1056" s="12">
        <v>30</v>
      </c>
      <c r="N1056" s="12">
        <v>0</v>
      </c>
      <c r="O1056" s="15"/>
      <c r="P1056" s="6">
        <v>41726.569884259261</v>
      </c>
      <c r="Q1056" s="11"/>
      <c r="R1056" s="17" t="s">
        <v>2394</v>
      </c>
      <c r="S1056" s="11"/>
      <c r="T1056" s="11"/>
      <c r="U1056" s="10" t="str">
        <f>HYPERLINK("https://pbs.twimg.com/profile_images/449860844277727232/L0lUWRQU.jpeg","View")</f>
        <v>View</v>
      </c>
    </row>
    <row r="1057" spans="1:21" ht="81.599999999999994">
      <c r="A1057" s="6">
        <v>43426.126770833333</v>
      </c>
      <c r="B1057" s="7" t="str">
        <f>HYPERLINK("https://twitter.com/JemagoPaguey","@JemagoPaguey")</f>
        <v>@JemagoPaguey</v>
      </c>
      <c r="C1057" s="8" t="s">
        <v>5916</v>
      </c>
      <c r="D1057" s="9" t="s">
        <v>5917</v>
      </c>
      <c r="E1057" s="10" t="str">
        <f>HYPERLINK("https://twitter.com/JemagoPaguey/status/1065561164824936449","1065561164824936449")</f>
        <v>1065561164824936449</v>
      </c>
      <c r="F1057" s="16" t="s">
        <v>2377</v>
      </c>
      <c r="G1057" s="11"/>
      <c r="H1057" s="11"/>
      <c r="I1057" s="12">
        <v>0</v>
      </c>
      <c r="J1057" s="12">
        <v>0</v>
      </c>
      <c r="K1057" s="13" t="str">
        <f>HYPERLINK("http://twitter.com","Twitter Web Client")</f>
        <v>Twitter Web Client</v>
      </c>
      <c r="L1057" s="12">
        <v>108</v>
      </c>
      <c r="M1057" s="12">
        <v>595</v>
      </c>
      <c r="N1057" s="12">
        <v>2</v>
      </c>
      <c r="O1057" s="15"/>
      <c r="P1057" s="6">
        <v>43024.978229166663</v>
      </c>
      <c r="Q1057" s="11"/>
      <c r="R1057" s="17" t="s">
        <v>5918</v>
      </c>
      <c r="S1057" s="11"/>
      <c r="T1057" s="11"/>
      <c r="U1057" s="10" t="str">
        <f>HYPERLINK("https://pbs.twimg.com/profile_images/920315606502604800/a0MyPuR-.jpg","View")</f>
        <v>View</v>
      </c>
    </row>
    <row r="1058" spans="1:21" ht="51">
      <c r="A1058" s="6">
        <v>43426.126620370371</v>
      </c>
      <c r="B1058" s="7" t="str">
        <f>HYPERLINK("https://twitter.com/JotaCe_BH","@JotaCe_BH")</f>
        <v>@JotaCe_BH</v>
      </c>
      <c r="C1058" s="8" t="s">
        <v>2397</v>
      </c>
      <c r="D1058" s="9" t="s">
        <v>2399</v>
      </c>
      <c r="E1058" s="10" t="str">
        <f>HYPERLINK("https://twitter.com/JotaCe_BH/status/1065561109128712193","1065561109128712193")</f>
        <v>1065561109128712193</v>
      </c>
      <c r="F1058" s="14" t="s">
        <v>79</v>
      </c>
      <c r="G1058" s="11"/>
      <c r="H1058" s="11"/>
      <c r="I1058" s="12">
        <v>2</v>
      </c>
      <c r="J1058" s="12">
        <v>3</v>
      </c>
      <c r="K1058" s="13" t="str">
        <f>HYPERLINK("http://twitter.com/download/android","Twitter for Android")</f>
        <v>Twitter for Android</v>
      </c>
      <c r="L1058" s="12">
        <v>392</v>
      </c>
      <c r="M1058" s="12">
        <v>528</v>
      </c>
      <c r="N1058" s="12">
        <v>9</v>
      </c>
      <c r="O1058" s="15"/>
      <c r="P1058" s="6">
        <v>42101.534895833334</v>
      </c>
      <c r="Q1058" s="11"/>
      <c r="R1058" s="17" t="s">
        <v>2401</v>
      </c>
      <c r="S1058" s="11"/>
      <c r="T1058" s="11"/>
      <c r="U1058" s="10" t="str">
        <f>HYPERLINK("https://pbs.twimg.com/profile_images/727501604992225280/wQHqZZT8.jpg","View")</f>
        <v>View</v>
      </c>
    </row>
    <row r="1059" spans="1:21" ht="40.799999999999997">
      <c r="A1059" s="6">
        <v>43426.126620370371</v>
      </c>
      <c r="B1059" s="7" t="str">
        <f>HYPERLINK("https://twitter.com/Alcon_Abogados","@Alcon_Abogados")</f>
        <v>@Alcon_Abogados</v>
      </c>
      <c r="C1059" s="8" t="s">
        <v>5919</v>
      </c>
      <c r="D1059" s="9" t="s">
        <v>5920</v>
      </c>
      <c r="E1059" s="10" t="str">
        <f>HYPERLINK("https://twitter.com/Alcon_Abogados/status/1065561109091024896","1065561109091024896")</f>
        <v>1065561109091024896</v>
      </c>
      <c r="F1059" s="11"/>
      <c r="G1059" s="11"/>
      <c r="H1059" s="11"/>
      <c r="I1059" s="12">
        <v>0</v>
      </c>
      <c r="J1059" s="12">
        <v>1</v>
      </c>
      <c r="K1059" s="13" t="str">
        <f>HYPERLINK("http://twitter.com/download/iphone","Twitter for iPhone")</f>
        <v>Twitter for iPhone</v>
      </c>
      <c r="L1059" s="12">
        <v>127</v>
      </c>
      <c r="M1059" s="12">
        <v>461</v>
      </c>
      <c r="N1059" s="12">
        <v>3</v>
      </c>
      <c r="O1059" s="15"/>
      <c r="P1059" s="6">
        <v>41481.429895833331</v>
      </c>
      <c r="Q1059" s="11"/>
      <c r="R1059" s="17" t="s">
        <v>5921</v>
      </c>
      <c r="S1059" s="14" t="s">
        <v>5922</v>
      </c>
      <c r="T1059" s="11"/>
      <c r="U1059" s="10" t="str">
        <f>HYPERLINK("https://pbs.twimg.com/profile_images/834080722382110721/cfN--uUt.jpg","View")</f>
        <v>View</v>
      </c>
    </row>
    <row r="1060" spans="1:21" ht="51">
      <c r="A1060" s="6">
        <v>43426.125740740739</v>
      </c>
      <c r="B1060" s="7" t="str">
        <f>HYPERLINK("https://twitter.com/chusma49","@chusma49")</f>
        <v>@chusma49</v>
      </c>
      <c r="C1060" s="8" t="s">
        <v>2402</v>
      </c>
      <c r="D1060" s="9" t="s">
        <v>2403</v>
      </c>
      <c r="E1060" s="10" t="str">
        <f>HYPERLINK("https://twitter.com/chusma49/status/1065560790479118336","1065560790479118336")</f>
        <v>1065560790479118336</v>
      </c>
      <c r="F1060" s="14" t="s">
        <v>2404</v>
      </c>
      <c r="G1060" s="11"/>
      <c r="H1060" s="11"/>
      <c r="I1060" s="12">
        <v>0</v>
      </c>
      <c r="J1060" s="12">
        <v>0</v>
      </c>
      <c r="K1060" s="13" t="str">
        <f>HYPERLINK("http://twitter.com/download/android","Twitter for Android")</f>
        <v>Twitter for Android</v>
      </c>
      <c r="L1060" s="12">
        <v>219</v>
      </c>
      <c r="M1060" s="12">
        <v>357</v>
      </c>
      <c r="N1060" s="12">
        <v>8</v>
      </c>
      <c r="O1060" s="15"/>
      <c r="P1060" s="6">
        <v>40634.601400462961</v>
      </c>
      <c r="Q1060" s="11"/>
      <c r="R1060" s="17" t="s">
        <v>2405</v>
      </c>
      <c r="S1060" s="11"/>
      <c r="T1060" s="11"/>
      <c r="U1060" s="10" t="str">
        <f>HYPERLINK("https://pbs.twimg.com/profile_images/654448231921905664/ich9qucX.png","View")</f>
        <v>View</v>
      </c>
    </row>
    <row r="1061" spans="1:21" ht="20.399999999999999">
      <c r="A1061" s="6">
        <v>43426.124618055561</v>
      </c>
      <c r="B1061" s="7" t="str">
        <f>HYPERLINK("https://twitter.com/paco6213","@paco6213")</f>
        <v>@paco6213</v>
      </c>
      <c r="C1061" s="8" t="s">
        <v>5923</v>
      </c>
      <c r="D1061" s="9" t="s">
        <v>5924</v>
      </c>
      <c r="E1061" s="10" t="str">
        <f>HYPERLINK("https://twitter.com/paco6213/status/1065560382989848576","1065560382989848576")</f>
        <v>1065560382989848576</v>
      </c>
      <c r="F1061" s="14" t="s">
        <v>5925</v>
      </c>
      <c r="G1061" s="11"/>
      <c r="H1061" s="11"/>
      <c r="I1061" s="12">
        <v>0</v>
      </c>
      <c r="J1061" s="12">
        <v>0</v>
      </c>
      <c r="K1061" s="13" t="str">
        <f>HYPERLINK("http://www.facebook.com/twitter","Facebook")</f>
        <v>Facebook</v>
      </c>
      <c r="L1061" s="12">
        <v>30</v>
      </c>
      <c r="M1061" s="12">
        <v>56</v>
      </c>
      <c r="N1061" s="12">
        <v>0</v>
      </c>
      <c r="O1061" s="15"/>
      <c r="P1061" s="6">
        <v>40394.136608796296</v>
      </c>
      <c r="Q1061" s="16" t="s">
        <v>5926</v>
      </c>
      <c r="R1061" s="17" t="s">
        <v>5927</v>
      </c>
      <c r="S1061" s="11"/>
      <c r="T1061" s="11"/>
      <c r="U1061" s="10" t="str">
        <f>HYPERLINK("https://pbs.twimg.com/profile_images/715071487477157888/agDPt6ja.jpg","View")</f>
        <v>View</v>
      </c>
    </row>
    <row r="1062" spans="1:21" ht="40.799999999999997">
      <c r="A1062" s="6">
        <v>43426.123148148152</v>
      </c>
      <c r="B1062" s="7" t="str">
        <f>HYPERLINK("https://twitter.com/acamborio1","@acamborio1")</f>
        <v>@acamborio1</v>
      </c>
      <c r="C1062" s="8" t="s">
        <v>2406</v>
      </c>
      <c r="D1062" s="9" t="s">
        <v>2407</v>
      </c>
      <c r="E1062" s="10" t="str">
        <f>HYPERLINK("https://twitter.com/acamborio1/status/1065559853903556608","1065559853903556608")</f>
        <v>1065559853903556608</v>
      </c>
      <c r="F1062" s="11"/>
      <c r="G1062" s="14" t="s">
        <v>2408</v>
      </c>
      <c r="H1062" s="11"/>
      <c r="I1062" s="12">
        <v>0</v>
      </c>
      <c r="J1062" s="12">
        <v>0</v>
      </c>
      <c r="K1062" s="13" t="str">
        <f t="shared" ref="K1062:K1063" si="215">HYPERLINK("http://twitter.com","Twitter Web Client")</f>
        <v>Twitter Web Client</v>
      </c>
      <c r="L1062" s="12">
        <v>22</v>
      </c>
      <c r="M1062" s="12">
        <v>94</v>
      </c>
      <c r="N1062" s="12">
        <v>1</v>
      </c>
      <c r="O1062" s="15"/>
      <c r="P1062" s="6">
        <v>42139.33289351852</v>
      </c>
      <c r="Q1062" s="11"/>
      <c r="R1062" s="19"/>
      <c r="S1062" s="11"/>
      <c r="T1062" s="11"/>
      <c r="U1062" s="18" t="s">
        <v>168</v>
      </c>
    </row>
    <row r="1063" spans="1:21" ht="40.799999999999997">
      <c r="A1063" s="6">
        <v>43426.123124999998</v>
      </c>
      <c r="B1063" s="7" t="str">
        <f>HYPERLINK("https://twitter.com/jamendezg","@jamendezg")</f>
        <v>@jamendezg</v>
      </c>
      <c r="C1063" s="8" t="s">
        <v>5928</v>
      </c>
      <c r="D1063" s="9" t="s">
        <v>768</v>
      </c>
      <c r="E1063" s="10" t="str">
        <f>HYPERLINK("https://twitter.com/jamendezg/status/1065559843757584388","1065559843757584388")</f>
        <v>1065559843757584388</v>
      </c>
      <c r="F1063" s="14" t="s">
        <v>529</v>
      </c>
      <c r="G1063" s="11"/>
      <c r="H1063" s="11"/>
      <c r="I1063" s="12">
        <v>0</v>
      </c>
      <c r="J1063" s="12">
        <v>0</v>
      </c>
      <c r="K1063" s="13" t="str">
        <f t="shared" si="215"/>
        <v>Twitter Web Client</v>
      </c>
      <c r="L1063" s="12">
        <v>86</v>
      </c>
      <c r="M1063" s="12">
        <v>149</v>
      </c>
      <c r="N1063" s="12">
        <v>3</v>
      </c>
      <c r="O1063" s="15"/>
      <c r="P1063" s="6">
        <v>41530.151979166665</v>
      </c>
      <c r="Q1063" s="16" t="s">
        <v>5929</v>
      </c>
      <c r="R1063" s="17" t="s">
        <v>5930</v>
      </c>
      <c r="S1063" s="11"/>
      <c r="T1063" s="11"/>
      <c r="U1063" s="10" t="str">
        <f>HYPERLINK("https://pbs.twimg.com/profile_images/378800000450967980/8b63b8afaa52924aa2016c5df79a3081.jpeg","View")</f>
        <v>View</v>
      </c>
    </row>
    <row r="1064" spans="1:21" ht="102">
      <c r="A1064" s="6">
        <v>43426.122557870374</v>
      </c>
      <c r="B1064" s="7" t="str">
        <f>HYPERLINK("https://twitter.com/elfary74","@elfary74")</f>
        <v>@elfary74</v>
      </c>
      <c r="C1064" s="8" t="s">
        <v>2409</v>
      </c>
      <c r="D1064" s="21" t="s">
        <v>2410</v>
      </c>
      <c r="E1064" s="10" t="str">
        <f>HYPERLINK("https://twitter.com/elfary74/status/1065559639838867457","1065559639838867457")</f>
        <v>1065559639838867457</v>
      </c>
      <c r="F1064" s="16" t="s">
        <v>1742</v>
      </c>
      <c r="G1064" s="14" t="s">
        <v>1431</v>
      </c>
      <c r="H1064" s="11"/>
      <c r="I1064" s="12">
        <v>82</v>
      </c>
      <c r="J1064" s="12">
        <v>146</v>
      </c>
      <c r="K1064" s="13" t="str">
        <f>HYPERLINK("https://mobile.twitter.com","Twitter Lite")</f>
        <v>Twitter Lite</v>
      </c>
      <c r="L1064" s="12">
        <v>189</v>
      </c>
      <c r="M1064" s="12">
        <v>297</v>
      </c>
      <c r="N1064" s="12">
        <v>3</v>
      </c>
      <c r="O1064" s="15"/>
      <c r="P1064" s="6">
        <v>40008.025127314817</v>
      </c>
      <c r="Q1064" s="16" t="s">
        <v>38</v>
      </c>
      <c r="R1064" s="17" t="s">
        <v>2412</v>
      </c>
      <c r="S1064" s="11"/>
      <c r="T1064" s="11"/>
      <c r="U1064" s="10" t="str">
        <f>HYPERLINK("https://pbs.twimg.com/profile_images/1047549534539276288/6RsyeDiZ.jpg","View")</f>
        <v>View</v>
      </c>
    </row>
    <row r="1065" spans="1:21" ht="30.6">
      <c r="A1065" s="6">
        <v>43426.12228009259</v>
      </c>
      <c r="B1065" s="7" t="str">
        <f t="shared" ref="B1065:B1066" si="216">HYPERLINK("https://twitter.com/vosadiario","@vosadiario")</f>
        <v>@vosadiario</v>
      </c>
      <c r="C1065" s="8" t="s">
        <v>5931</v>
      </c>
      <c r="D1065" s="9" t="s">
        <v>5932</v>
      </c>
      <c r="E1065" s="10" t="str">
        <f>HYPERLINK("https://twitter.com/vosadiario/status/1065559538517061632","1065559538517061632")</f>
        <v>1065559538517061632</v>
      </c>
      <c r="F1065" s="11"/>
      <c r="G1065" s="11"/>
      <c r="H1065" s="11"/>
      <c r="I1065" s="12">
        <v>0</v>
      </c>
      <c r="J1065" s="12">
        <v>0</v>
      </c>
      <c r="K1065" s="13" t="str">
        <f t="shared" ref="K1065:K1066" si="217">HYPERLINK("http://twitter.com","Twitter Web Client")</f>
        <v>Twitter Web Client</v>
      </c>
      <c r="L1065" s="12">
        <v>132</v>
      </c>
      <c r="M1065" s="12">
        <v>547</v>
      </c>
      <c r="N1065" s="12">
        <v>0</v>
      </c>
      <c r="O1065" s="15"/>
      <c r="P1065" s="6">
        <v>43265.462233796294</v>
      </c>
      <c r="Q1065" s="16" t="s">
        <v>5933</v>
      </c>
      <c r="R1065" s="17" t="s">
        <v>5934</v>
      </c>
      <c r="S1065" s="14" t="s">
        <v>5935</v>
      </c>
      <c r="T1065" s="11"/>
      <c r="U1065" s="10" t="str">
        <f t="shared" ref="U1065:U1066" si="218">HYPERLINK("https://pbs.twimg.com/profile_images/1011915669435187201/etI4TFQl.jpg","View")</f>
        <v>View</v>
      </c>
    </row>
    <row r="1066" spans="1:21" ht="40.799999999999997">
      <c r="A1066" s="6">
        <v>43426.121782407412</v>
      </c>
      <c r="B1066" s="7" t="str">
        <f t="shared" si="216"/>
        <v>@vosadiario</v>
      </c>
      <c r="C1066" s="8" t="s">
        <v>5931</v>
      </c>
      <c r="D1066" s="9" t="s">
        <v>5936</v>
      </c>
      <c r="E1066" s="10" t="str">
        <f>HYPERLINK("https://twitter.com/vosadiario/status/1065559355242807297","1065559355242807297")</f>
        <v>1065559355242807297</v>
      </c>
      <c r="F1066" s="11"/>
      <c r="G1066" s="11"/>
      <c r="H1066" s="11"/>
      <c r="I1066" s="12">
        <v>0</v>
      </c>
      <c r="J1066" s="12">
        <v>0</v>
      </c>
      <c r="K1066" s="13" t="str">
        <f t="shared" si="217"/>
        <v>Twitter Web Client</v>
      </c>
      <c r="L1066" s="12">
        <v>132</v>
      </c>
      <c r="M1066" s="12">
        <v>547</v>
      </c>
      <c r="N1066" s="12">
        <v>0</v>
      </c>
      <c r="O1066" s="15"/>
      <c r="P1066" s="6">
        <v>43265.462233796294</v>
      </c>
      <c r="Q1066" s="16" t="s">
        <v>5933</v>
      </c>
      <c r="R1066" s="17" t="s">
        <v>5934</v>
      </c>
      <c r="S1066" s="14" t="s">
        <v>5935</v>
      </c>
      <c r="T1066" s="11"/>
      <c r="U1066" s="10" t="str">
        <f t="shared" si="218"/>
        <v>View</v>
      </c>
    </row>
    <row r="1067" spans="1:21" ht="20.399999999999999">
      <c r="A1067" s="6">
        <v>43426.120983796296</v>
      </c>
      <c r="B1067" s="7" t="str">
        <f>HYPERLINK("https://twitter.com/gara_ice","@gara_ice")</f>
        <v>@gara_ice</v>
      </c>
      <c r="C1067" s="8" t="s">
        <v>1475</v>
      </c>
      <c r="D1067" s="9" t="s">
        <v>5937</v>
      </c>
      <c r="E1067" s="10" t="str">
        <f>HYPERLINK("https://twitter.com/gara_ice/status/1065559068507545600","1065559068507545600")</f>
        <v>1065559068507545600</v>
      </c>
      <c r="F1067" s="14" t="s">
        <v>5938</v>
      </c>
      <c r="G1067" s="11"/>
      <c r="H1067" s="11"/>
      <c r="I1067" s="12">
        <v>0</v>
      </c>
      <c r="J1067" s="12">
        <v>0</v>
      </c>
      <c r="K1067" s="13" t="str">
        <f>HYPERLINK("https://ifttt.com","IFTTT")</f>
        <v>IFTTT</v>
      </c>
      <c r="L1067" s="12">
        <v>445</v>
      </c>
      <c r="M1067" s="12">
        <v>434</v>
      </c>
      <c r="N1067" s="12">
        <v>10</v>
      </c>
      <c r="O1067" s="15"/>
      <c r="P1067" s="6">
        <v>39590.060324074075</v>
      </c>
      <c r="Q1067" s="11"/>
      <c r="R1067" s="19"/>
      <c r="S1067" s="11"/>
      <c r="T1067" s="11"/>
      <c r="U1067" s="10" t="str">
        <f>HYPERLINK("https://pbs.twimg.com/profile_images/561850533468971008/-4f3cnLr.jpeg","View")</f>
        <v>View</v>
      </c>
    </row>
    <row r="1068" spans="1:21" ht="20.399999999999999">
      <c r="A1068" s="6">
        <v>43426.120150462964</v>
      </c>
      <c r="B1068" s="7" t="str">
        <f>HYPERLINK("https://twitter.com/FranGallRuiz","@FranGallRuiz")</f>
        <v>@FranGallRuiz</v>
      </c>
      <c r="C1068" s="8" t="s">
        <v>5939</v>
      </c>
      <c r="D1068" s="9" t="s">
        <v>768</v>
      </c>
      <c r="E1068" s="10" t="str">
        <f>HYPERLINK("https://twitter.com/FranGallRuiz/status/1065558763762040832","1065558763762040832")</f>
        <v>1065558763762040832</v>
      </c>
      <c r="F1068" s="14" t="s">
        <v>529</v>
      </c>
      <c r="G1068" s="11"/>
      <c r="H1068" s="11"/>
      <c r="I1068" s="12">
        <v>0</v>
      </c>
      <c r="J1068" s="12">
        <v>0</v>
      </c>
      <c r="K1068" s="13" t="str">
        <f>HYPERLINK("http://twitter.com/download/android","Twitter for Android")</f>
        <v>Twitter for Android</v>
      </c>
      <c r="L1068" s="12">
        <v>759</v>
      </c>
      <c r="M1068" s="12">
        <v>567</v>
      </c>
      <c r="N1068" s="12">
        <v>72</v>
      </c>
      <c r="O1068" s="15"/>
      <c r="P1068" s="6">
        <v>42067.538715277777</v>
      </c>
      <c r="Q1068" s="11"/>
      <c r="R1068" s="17" t="s">
        <v>5940</v>
      </c>
      <c r="S1068" s="11"/>
      <c r="T1068" s="11"/>
      <c r="U1068" s="10" t="str">
        <f>HYPERLINK("https://pbs.twimg.com/profile_images/573227246913253379/KZjWHDGW.jpeg","View")</f>
        <v>View</v>
      </c>
    </row>
    <row r="1069" spans="1:21" ht="40.799999999999997">
      <c r="A1069" s="6">
        <v>43426.119699074072</v>
      </c>
      <c r="B1069" s="7" t="str">
        <f>HYPERLINK("https://twitter.com/LiberaONG","@LiberaONG")</f>
        <v>@LiberaONG</v>
      </c>
      <c r="C1069" s="8" t="s">
        <v>5941</v>
      </c>
      <c r="D1069" s="9" t="s">
        <v>5942</v>
      </c>
      <c r="E1069" s="10" t="str">
        <f>HYPERLINK("https://twitter.com/LiberaONG/status/1065558601467654144","1065558601467654144")</f>
        <v>1065558601467654144</v>
      </c>
      <c r="F1069" s="16" t="s">
        <v>5817</v>
      </c>
      <c r="G1069" s="14" t="s">
        <v>5943</v>
      </c>
      <c r="H1069" s="11"/>
      <c r="I1069" s="12">
        <v>24</v>
      </c>
      <c r="J1069" s="12">
        <v>23</v>
      </c>
      <c r="K1069" s="13" t="str">
        <f t="shared" ref="K1069:K1070" si="219">HYPERLINK("http://twitter.com","Twitter Web Client")</f>
        <v>Twitter Web Client</v>
      </c>
      <c r="L1069" s="12">
        <v>17202</v>
      </c>
      <c r="M1069" s="12">
        <v>1671</v>
      </c>
      <c r="N1069" s="12">
        <v>224</v>
      </c>
      <c r="O1069" s="15"/>
      <c r="P1069" s="6">
        <v>40270.424050925925</v>
      </c>
      <c r="Q1069" s="16" t="s">
        <v>28</v>
      </c>
      <c r="R1069" s="17" t="s">
        <v>5944</v>
      </c>
      <c r="S1069" s="14" t="s">
        <v>5945</v>
      </c>
      <c r="T1069" s="11"/>
      <c r="U1069" s="10" t="str">
        <f>HYPERLINK("https://pbs.twimg.com/profile_images/672469994240897024/f5hC4kMp.png","View")</f>
        <v>View</v>
      </c>
    </row>
    <row r="1070" spans="1:21" ht="51">
      <c r="A1070" s="6">
        <v>43426.118842592594</v>
      </c>
      <c r="B1070" s="7" t="str">
        <f>HYPERLINK("https://twitter.com/BusySPA","@BusySPA")</f>
        <v>@BusySPA</v>
      </c>
      <c r="C1070" s="8" t="s">
        <v>5946</v>
      </c>
      <c r="D1070" s="9" t="s">
        <v>5947</v>
      </c>
      <c r="E1070" s="10" t="str">
        <f>HYPERLINK("https://twitter.com/BusySPA/status/1065558292611645440","1065558292611645440")</f>
        <v>1065558292611645440</v>
      </c>
      <c r="F1070" s="11"/>
      <c r="G1070" s="11"/>
      <c r="H1070" s="11"/>
      <c r="I1070" s="12">
        <v>0</v>
      </c>
      <c r="J1070" s="12">
        <v>0</v>
      </c>
      <c r="K1070" s="13" t="str">
        <f t="shared" si="219"/>
        <v>Twitter Web Client</v>
      </c>
      <c r="L1070" s="12">
        <v>375</v>
      </c>
      <c r="M1070" s="12">
        <v>98</v>
      </c>
      <c r="N1070" s="12">
        <v>18</v>
      </c>
      <c r="O1070" s="15"/>
      <c r="P1070" s="6">
        <v>40282.574212962965</v>
      </c>
      <c r="Q1070" s="16" t="s">
        <v>5948</v>
      </c>
      <c r="R1070" s="17" t="s">
        <v>5949</v>
      </c>
      <c r="S1070" s="14" t="s">
        <v>5950</v>
      </c>
      <c r="T1070" s="11"/>
      <c r="U1070" s="10" t="str">
        <f>HYPERLINK("https://pbs.twimg.com/profile_images/900406577370365955/4S3LC4j2.jpg","View")</f>
        <v>View</v>
      </c>
    </row>
    <row r="1071" spans="1:21" ht="102">
      <c r="A1071" s="6">
        <v>43426.118518518517</v>
      </c>
      <c r="B1071" s="7" t="str">
        <f>HYPERLINK("https://twitter.com/CarlosFirnhaber","@CarlosFirnhaber")</f>
        <v>@CarlosFirnhaber</v>
      </c>
      <c r="C1071" s="8" t="s">
        <v>5951</v>
      </c>
      <c r="D1071" s="9" t="s">
        <v>5952</v>
      </c>
      <c r="E1071" s="10" t="str">
        <f>HYPERLINK("https://twitter.com/CarlosFirnhaber/status/1065558176072908801","1065558176072908801")</f>
        <v>1065558176072908801</v>
      </c>
      <c r="F1071" s="14" t="s">
        <v>5803</v>
      </c>
      <c r="G1071" s="14" t="s">
        <v>5804</v>
      </c>
      <c r="H1071" s="11"/>
      <c r="I1071" s="12">
        <v>1</v>
      </c>
      <c r="J1071" s="12">
        <v>0</v>
      </c>
      <c r="K1071" s="13" t="str">
        <f>HYPERLINK("https://mobile.twitter.com","Twitter Lite")</f>
        <v>Twitter Lite</v>
      </c>
      <c r="L1071" s="12">
        <v>4733</v>
      </c>
      <c r="M1071" s="12">
        <v>5192</v>
      </c>
      <c r="N1071" s="12">
        <v>11</v>
      </c>
      <c r="O1071" s="15"/>
      <c r="P1071" s="6">
        <v>40422.401539351849</v>
      </c>
      <c r="Q1071" s="16" t="s">
        <v>5953</v>
      </c>
      <c r="R1071" s="17" t="s">
        <v>5954</v>
      </c>
      <c r="S1071" s="11"/>
      <c r="T1071" s="11"/>
      <c r="U1071" s="10" t="str">
        <f>HYPERLINK("https://pbs.twimg.com/profile_images/844524982218735616/WWiuDTAX.jpg","View")</f>
        <v>View</v>
      </c>
    </row>
    <row r="1072" spans="1:21" ht="51">
      <c r="A1072" s="6">
        <v>43426.118402777778</v>
      </c>
      <c r="B1072" s="7" t="str">
        <f>HYPERLINK("https://twitter.com/vosadiario","@vosadiario")</f>
        <v>@vosadiario</v>
      </c>
      <c r="C1072" s="8" t="s">
        <v>5931</v>
      </c>
      <c r="D1072" s="9" t="s">
        <v>5955</v>
      </c>
      <c r="E1072" s="10" t="str">
        <f>HYPERLINK("https://twitter.com/vosadiario/status/1065558131588194304","1065558131588194304")</f>
        <v>1065558131588194304</v>
      </c>
      <c r="F1072" s="11"/>
      <c r="G1072" s="11"/>
      <c r="H1072" s="11"/>
      <c r="I1072" s="12">
        <v>0</v>
      </c>
      <c r="J1072" s="12">
        <v>0</v>
      </c>
      <c r="K1072" s="13" t="str">
        <f>HYPERLINK("http://twitter.com","Twitter Web Client")</f>
        <v>Twitter Web Client</v>
      </c>
      <c r="L1072" s="12">
        <v>132</v>
      </c>
      <c r="M1072" s="12">
        <v>547</v>
      </c>
      <c r="N1072" s="12">
        <v>0</v>
      </c>
      <c r="O1072" s="15"/>
      <c r="P1072" s="6">
        <v>43265.462233796294</v>
      </c>
      <c r="Q1072" s="16" t="s">
        <v>5933</v>
      </c>
      <c r="R1072" s="17" t="s">
        <v>5934</v>
      </c>
      <c r="S1072" s="14" t="s">
        <v>5935</v>
      </c>
      <c r="T1072" s="11"/>
      <c r="U1072" s="10" t="str">
        <f>HYPERLINK("https://pbs.twimg.com/profile_images/1011915669435187201/etI4TFQl.jpg","View")</f>
        <v>View</v>
      </c>
    </row>
    <row r="1073" spans="1:21" ht="20.399999999999999">
      <c r="A1073" s="6">
        <v>43426.117800925931</v>
      </c>
      <c r="B1073" s="7" t="str">
        <f>HYPERLINK("https://twitter.com/rafa050guitar","@rafa050guitar")</f>
        <v>@rafa050guitar</v>
      </c>
      <c r="C1073" s="8" t="s">
        <v>5956</v>
      </c>
      <c r="D1073" s="9" t="s">
        <v>768</v>
      </c>
      <c r="E1073" s="10" t="str">
        <f>HYPERLINK("https://twitter.com/rafa050guitar/status/1065557914876895232","1065557914876895232")</f>
        <v>1065557914876895232</v>
      </c>
      <c r="F1073" s="14" t="s">
        <v>529</v>
      </c>
      <c r="G1073" s="11"/>
      <c r="H1073" s="11"/>
      <c r="I1073" s="12">
        <v>0</v>
      </c>
      <c r="J1073" s="12">
        <v>0</v>
      </c>
      <c r="K1073" s="13" t="str">
        <f>HYPERLINK("http://twitter.com/download/android","Twitter for Android")</f>
        <v>Twitter for Android</v>
      </c>
      <c r="L1073" s="12">
        <v>174</v>
      </c>
      <c r="M1073" s="12">
        <v>210</v>
      </c>
      <c r="N1073" s="12">
        <v>1</v>
      </c>
      <c r="O1073" s="15"/>
      <c r="P1073" s="6">
        <v>40608.22074074074</v>
      </c>
      <c r="Q1073" s="11"/>
      <c r="R1073" s="19"/>
      <c r="S1073" s="11"/>
      <c r="T1073" s="11"/>
      <c r="U1073" s="10" t="str">
        <f>HYPERLINK("https://pbs.twimg.com/profile_images/1666753666/0aO674SG","View")</f>
        <v>View</v>
      </c>
    </row>
    <row r="1074" spans="1:21" ht="51">
      <c r="A1074" s="6">
        <v>43426.117569444439</v>
      </c>
      <c r="B1074" s="7" t="str">
        <f>HYPERLINK("https://twitter.com/EuroPodemos","@EuroPodemos")</f>
        <v>@EuroPodemos</v>
      </c>
      <c r="C1074" s="8" t="s">
        <v>2414</v>
      </c>
      <c r="D1074" s="9" t="s">
        <v>2415</v>
      </c>
      <c r="E1074" s="10" t="str">
        <f>HYPERLINK("https://twitter.com/EuroPodemos/status/1065557830885916672","1065557830885916672")</f>
        <v>1065557830885916672</v>
      </c>
      <c r="F1074" s="14" t="s">
        <v>96</v>
      </c>
      <c r="G1074" s="14" t="s">
        <v>2417</v>
      </c>
      <c r="H1074" s="11"/>
      <c r="I1074" s="12">
        <v>11</v>
      </c>
      <c r="J1074" s="12">
        <v>8</v>
      </c>
      <c r="K1074" s="13" t="str">
        <f>HYPERLINK("http://twitter.com","Twitter Web Client")</f>
        <v>Twitter Web Client</v>
      </c>
      <c r="L1074" s="12">
        <v>29148</v>
      </c>
      <c r="M1074" s="12">
        <v>273</v>
      </c>
      <c r="N1074" s="12">
        <v>397</v>
      </c>
      <c r="O1074" s="15"/>
      <c r="P1074" s="6">
        <v>41843.617442129631</v>
      </c>
      <c r="Q1074" s="11"/>
      <c r="R1074" s="17" t="s">
        <v>2418</v>
      </c>
      <c r="S1074" s="14" t="s">
        <v>58</v>
      </c>
      <c r="T1074" s="11"/>
      <c r="U1074" s="10" t="str">
        <f>HYPERLINK("https://pbs.twimg.com/profile_images/1053233743861899264/TVaFWlKs.jpg","View")</f>
        <v>View</v>
      </c>
    </row>
    <row r="1075" spans="1:21" ht="71.400000000000006">
      <c r="A1075" s="6">
        <v>43426.116782407407</v>
      </c>
      <c r="B1075" s="7" t="str">
        <f>HYPERLINK("https://twitter.com/SocialismoMata","@SocialismoMata")</f>
        <v>@SocialismoMata</v>
      </c>
      <c r="C1075" s="8" t="s">
        <v>2420</v>
      </c>
      <c r="D1075" s="9" t="s">
        <v>2421</v>
      </c>
      <c r="E1075" s="10" t="str">
        <f>HYPERLINK("https://twitter.com/SocialismoMata/status/1065557545866153984","1065557545866153984")</f>
        <v>1065557545866153984</v>
      </c>
      <c r="F1075" s="16" t="s">
        <v>2422</v>
      </c>
      <c r="G1075" s="11"/>
      <c r="H1075" s="11"/>
      <c r="I1075" s="12">
        <v>0</v>
      </c>
      <c r="J1075" s="12">
        <v>0</v>
      </c>
      <c r="K1075" s="13" t="str">
        <f>HYPERLINK("http://twitter.com/download/iphone","Twitter for iPhone")</f>
        <v>Twitter for iPhone</v>
      </c>
      <c r="L1075" s="12">
        <v>79</v>
      </c>
      <c r="M1075" s="12">
        <v>36</v>
      </c>
      <c r="N1075" s="12">
        <v>0</v>
      </c>
      <c r="O1075" s="15"/>
      <c r="P1075" s="6">
        <v>43357.275891203702</v>
      </c>
      <c r="Q1075" s="16" t="s">
        <v>2424</v>
      </c>
      <c r="R1075" s="17" t="s">
        <v>2425</v>
      </c>
      <c r="S1075" s="11"/>
      <c r="T1075" s="11"/>
      <c r="U1075" s="10" t="str">
        <f>HYPERLINK("https://pbs.twimg.com/profile_images/1041250240408563712/-ZxqRUt9.jpg","View")</f>
        <v>View</v>
      </c>
    </row>
    <row r="1076" spans="1:21" ht="40.799999999999997">
      <c r="A1076" s="6">
        <v>43426.115150462967</v>
      </c>
      <c r="B1076" s="7" t="str">
        <f>HYPERLINK("https://twitter.com/mario_toser","@mario_toser")</f>
        <v>@mario_toser</v>
      </c>
      <c r="C1076" s="8" t="s">
        <v>2426</v>
      </c>
      <c r="D1076" s="9" t="s">
        <v>2427</v>
      </c>
      <c r="E1076" s="10" t="str">
        <f>HYPERLINK("https://twitter.com/mario_toser/status/1065556951965278210","1065556951965278210")</f>
        <v>1065556951965278210</v>
      </c>
      <c r="F1076" s="11"/>
      <c r="G1076" s="11"/>
      <c r="H1076" s="11"/>
      <c r="I1076" s="12">
        <v>0</v>
      </c>
      <c r="J1076" s="12">
        <v>0</v>
      </c>
      <c r="K1076" s="13" t="str">
        <f>HYPERLINK("http://twitter.com/#!/download/ipad","Twitter for iPad")</f>
        <v>Twitter for iPad</v>
      </c>
      <c r="L1076" s="12">
        <v>95</v>
      </c>
      <c r="M1076" s="12">
        <v>297</v>
      </c>
      <c r="N1076" s="12">
        <v>8</v>
      </c>
      <c r="O1076" s="15"/>
      <c r="P1076" s="6">
        <v>39899.330393518518</v>
      </c>
      <c r="Q1076" s="11"/>
      <c r="R1076" s="17" t="s">
        <v>2428</v>
      </c>
      <c r="S1076" s="11"/>
      <c r="T1076" s="11"/>
      <c r="U1076" s="10" t="str">
        <f>HYPERLINK("https://pbs.twimg.com/profile_images/378800000659851231/b6d7262b731fbfa312204a967d5bc256.jpeg","View")</f>
        <v>View</v>
      </c>
    </row>
    <row r="1077" spans="1:21" ht="30.6">
      <c r="A1077" s="6">
        <v>43426.114305555559</v>
      </c>
      <c r="B1077" s="7" t="str">
        <f>HYPERLINK("https://twitter.com/Samurainegre","@Samurainegre")</f>
        <v>@Samurainegre</v>
      </c>
      <c r="C1077" s="8" t="s">
        <v>5957</v>
      </c>
      <c r="D1077" s="9" t="s">
        <v>5958</v>
      </c>
      <c r="E1077" s="10" t="str">
        <f>HYPERLINK("https://twitter.com/Samurainegre/status/1065556646439587840","1065556646439587840")</f>
        <v>1065556646439587840</v>
      </c>
      <c r="F1077" s="14" t="s">
        <v>529</v>
      </c>
      <c r="G1077" s="11"/>
      <c r="H1077" s="11"/>
      <c r="I1077" s="12">
        <v>0</v>
      </c>
      <c r="J1077" s="12">
        <v>0</v>
      </c>
      <c r="K1077" s="13" t="str">
        <f t="shared" ref="K1077:K1081" si="220">HYPERLINK("http://twitter.com","Twitter Web Client")</f>
        <v>Twitter Web Client</v>
      </c>
      <c r="L1077" s="12">
        <v>665</v>
      </c>
      <c r="M1077" s="12">
        <v>753</v>
      </c>
      <c r="N1077" s="12">
        <v>0</v>
      </c>
      <c r="O1077" s="15"/>
      <c r="P1077" s="6">
        <v>40490.037962962961</v>
      </c>
      <c r="Q1077" s="16" t="s">
        <v>5959</v>
      </c>
      <c r="R1077" s="17" t="s">
        <v>5960</v>
      </c>
      <c r="S1077" s="11"/>
      <c r="T1077" s="11"/>
      <c r="U1077" s="10" t="str">
        <f>HYPERLINK("https://pbs.twimg.com/profile_images/1817178509/Samurai_negre.jpg","View")</f>
        <v>View</v>
      </c>
    </row>
    <row r="1078" spans="1:21" ht="30.6">
      <c r="A1078" s="6">
        <v>43426.113206018519</v>
      </c>
      <c r="B1078" s="7" t="str">
        <f>HYPERLINK("https://twitter.com/AguasNeutrales","@AguasNeutrales")</f>
        <v>@AguasNeutrales</v>
      </c>
      <c r="C1078" s="8" t="s">
        <v>1901</v>
      </c>
      <c r="D1078" s="9" t="s">
        <v>5961</v>
      </c>
      <c r="E1078" s="10" t="str">
        <f>HYPERLINK("https://twitter.com/AguasNeutrales/status/1065556251013197824","1065556251013197824")</f>
        <v>1065556251013197824</v>
      </c>
      <c r="F1078" s="14" t="s">
        <v>5962</v>
      </c>
      <c r="G1078" s="14" t="s">
        <v>5963</v>
      </c>
      <c r="H1078" s="11"/>
      <c r="I1078" s="12">
        <v>0</v>
      </c>
      <c r="J1078" s="12">
        <v>0</v>
      </c>
      <c r="K1078" s="13" t="str">
        <f t="shared" si="220"/>
        <v>Twitter Web Client</v>
      </c>
      <c r="L1078" s="12">
        <v>841</v>
      </c>
      <c r="M1078" s="12">
        <v>2073</v>
      </c>
      <c r="N1078" s="12">
        <v>5</v>
      </c>
      <c r="O1078" s="15"/>
      <c r="P1078" s="6">
        <v>41801.927615740744</v>
      </c>
      <c r="Q1078" s="11"/>
      <c r="R1078" s="17" t="s">
        <v>1908</v>
      </c>
      <c r="S1078" s="11"/>
      <c r="T1078" s="11"/>
      <c r="U1078" s="10" t="str">
        <f>HYPERLINK("https://pbs.twimg.com/profile_images/1008462024282689536/Q3Z1dTgf.jpg","View")</f>
        <v>View</v>
      </c>
    </row>
    <row r="1079" spans="1:21" ht="40.799999999999997">
      <c r="A1079" s="6">
        <v>43426.113206018519</v>
      </c>
      <c r="B1079" s="7" t="str">
        <f>HYPERLINK("https://twitter.com/JoanmiMmc","@JoanmiMmc")</f>
        <v>@JoanmiMmc</v>
      </c>
      <c r="C1079" s="8" t="s">
        <v>2431</v>
      </c>
      <c r="D1079" s="21" t="s">
        <v>2432</v>
      </c>
      <c r="E1079" s="10" t="str">
        <f>HYPERLINK("https://twitter.com/JoanmiMmc/status/1065556249239007233","1065556249239007233")</f>
        <v>1065556249239007233</v>
      </c>
      <c r="F1079" s="14" t="s">
        <v>96</v>
      </c>
      <c r="G1079" s="11"/>
      <c r="H1079" s="11"/>
      <c r="I1079" s="12">
        <v>0</v>
      </c>
      <c r="J1079" s="12">
        <v>0</v>
      </c>
      <c r="K1079" s="13" t="str">
        <f t="shared" si="220"/>
        <v>Twitter Web Client</v>
      </c>
      <c r="L1079" s="12">
        <v>670</v>
      </c>
      <c r="M1079" s="12">
        <v>191</v>
      </c>
      <c r="N1079" s="12">
        <v>50</v>
      </c>
      <c r="O1079" s="15"/>
      <c r="P1079" s="6">
        <v>40181.380358796298</v>
      </c>
      <c r="Q1079" s="16" t="s">
        <v>2433</v>
      </c>
      <c r="R1079" s="17" t="s">
        <v>2434</v>
      </c>
      <c r="S1079" s="14" t="s">
        <v>2435</v>
      </c>
      <c r="T1079" s="11"/>
      <c r="U1079" s="10" t="str">
        <f>HYPERLINK("https://pbs.twimg.com/profile_images/966445991858753536/BZbTYZom.jpg","View")</f>
        <v>View</v>
      </c>
    </row>
    <row r="1080" spans="1:21" ht="40.799999999999997">
      <c r="A1080" s="6">
        <v>43426.112673611111</v>
      </c>
      <c r="B1080" s="7" t="str">
        <f>HYPERLINK("https://twitter.com/JCRodriguezNava","@JCRodriguezNava")</f>
        <v>@JCRodriguezNava</v>
      </c>
      <c r="C1080" s="8" t="s">
        <v>2436</v>
      </c>
      <c r="D1080" s="9" t="s">
        <v>2437</v>
      </c>
      <c r="E1080" s="10" t="str">
        <f>HYPERLINK("https://twitter.com/JCRodriguezNava/status/1065556057844523008","1065556057844523008")</f>
        <v>1065556057844523008</v>
      </c>
      <c r="F1080" s="11"/>
      <c r="G1080" s="14" t="s">
        <v>2438</v>
      </c>
      <c r="H1080" s="11"/>
      <c r="I1080" s="12">
        <v>0</v>
      </c>
      <c r="J1080" s="12">
        <v>1</v>
      </c>
      <c r="K1080" s="13" t="str">
        <f t="shared" si="220"/>
        <v>Twitter Web Client</v>
      </c>
      <c r="L1080" s="12">
        <v>869</v>
      </c>
      <c r="M1080" s="12">
        <v>895</v>
      </c>
      <c r="N1080" s="12">
        <v>3</v>
      </c>
      <c r="O1080" s="15"/>
      <c r="P1080" s="6">
        <v>40991.520925925928</v>
      </c>
      <c r="Q1080" s="16" t="s">
        <v>2439</v>
      </c>
      <c r="R1080" s="17" t="s">
        <v>2440</v>
      </c>
      <c r="S1080" s="11"/>
      <c r="T1080" s="11"/>
      <c r="U1080" s="10" t="str">
        <f>HYPERLINK("https://pbs.twimg.com/profile_images/1034044578788200449/lpBioI0s.jpg","View")</f>
        <v>View</v>
      </c>
    </row>
    <row r="1081" spans="1:21" ht="30.6">
      <c r="A1081" s="6">
        <v>43426.112268518518</v>
      </c>
      <c r="B1081" s="7" t="str">
        <f>HYPERLINK("https://twitter.com/Sergios2031","@Sergios2031")</f>
        <v>@Sergios2031</v>
      </c>
      <c r="C1081" s="8" t="s">
        <v>5964</v>
      </c>
      <c r="D1081" s="9" t="s">
        <v>5965</v>
      </c>
      <c r="E1081" s="10" t="str">
        <f>HYPERLINK("https://twitter.com/Sergios2031/status/1065555908661530625","1065555908661530625")</f>
        <v>1065555908661530625</v>
      </c>
      <c r="F1081" s="14" t="s">
        <v>529</v>
      </c>
      <c r="G1081" s="11"/>
      <c r="H1081" s="11"/>
      <c r="I1081" s="12">
        <v>0</v>
      </c>
      <c r="J1081" s="12">
        <v>0</v>
      </c>
      <c r="K1081" s="13" t="str">
        <f t="shared" si="220"/>
        <v>Twitter Web Client</v>
      </c>
      <c r="L1081" s="12">
        <v>1763</v>
      </c>
      <c r="M1081" s="12">
        <v>3365</v>
      </c>
      <c r="N1081" s="12">
        <v>10</v>
      </c>
      <c r="O1081" s="15"/>
      <c r="P1081" s="6">
        <v>40225.584953703699</v>
      </c>
      <c r="Q1081" s="16" t="s">
        <v>5647</v>
      </c>
      <c r="R1081" s="17" t="s">
        <v>5966</v>
      </c>
      <c r="S1081" s="14" t="s">
        <v>5967</v>
      </c>
      <c r="T1081" s="11"/>
      <c r="U1081" s="10" t="str">
        <f>HYPERLINK("https://pbs.twimg.com/profile_images/1117755448/LOGO_DE_ASESORIA_EMPRESARIAL_PARA_NUEVOS_EMPRENDEDORES.jpg","View")</f>
        <v>View</v>
      </c>
    </row>
    <row r="1082" spans="1:21" ht="30.6">
      <c r="A1082" s="6">
        <v>43426.111435185187</v>
      </c>
      <c r="B1082" s="7" t="str">
        <f>HYPERLINK("https://twitter.com/Jean_de_Anvers","@Jean_de_Anvers")</f>
        <v>@Jean_de_Anvers</v>
      </c>
      <c r="C1082" s="8" t="s">
        <v>5968</v>
      </c>
      <c r="D1082" s="9" t="s">
        <v>5969</v>
      </c>
      <c r="E1082" s="10" t="str">
        <f>HYPERLINK("https://twitter.com/Jean_de_Anvers/status/1065555605270732800","1065555605270732800")</f>
        <v>1065555605270732800</v>
      </c>
      <c r="F1082" s="11"/>
      <c r="G1082" s="11"/>
      <c r="H1082" s="11"/>
      <c r="I1082" s="12">
        <v>0</v>
      </c>
      <c r="J1082" s="12">
        <v>1</v>
      </c>
      <c r="K1082" s="13" t="str">
        <f>HYPERLINK("https://mobile.twitter.com","Twitter Lite")</f>
        <v>Twitter Lite</v>
      </c>
      <c r="L1082" s="12">
        <v>32</v>
      </c>
      <c r="M1082" s="12">
        <v>14</v>
      </c>
      <c r="N1082" s="12">
        <v>4</v>
      </c>
      <c r="O1082" s="15"/>
      <c r="P1082" s="6">
        <v>43026.489155092597</v>
      </c>
      <c r="Q1082" s="11"/>
      <c r="R1082" s="17" t="s">
        <v>5970</v>
      </c>
      <c r="S1082" s="11"/>
      <c r="T1082" s="11"/>
      <c r="U1082" s="10" t="str">
        <f>HYPERLINK("https://pbs.twimg.com/profile_images/920723442831413252/gNfgWLtM.jpg","View")</f>
        <v>View</v>
      </c>
    </row>
    <row r="1083" spans="1:21" ht="20.399999999999999">
      <c r="A1083" s="6">
        <v>43426.111342592594</v>
      </c>
      <c r="B1083" s="7" t="str">
        <f>HYPERLINK("https://twitter.com/djtalmedia","@djtalmedia")</f>
        <v>@djtalmedia</v>
      </c>
      <c r="C1083" s="8" t="s">
        <v>2442</v>
      </c>
      <c r="D1083" s="9" t="s">
        <v>2443</v>
      </c>
      <c r="E1083" s="10" t="str">
        <f>HYPERLINK("https://twitter.com/djtalmedia/status/1065555573960257536","1065555573960257536")</f>
        <v>1065555573960257536</v>
      </c>
      <c r="F1083" s="11"/>
      <c r="G1083" s="14" t="s">
        <v>2444</v>
      </c>
      <c r="H1083" s="11"/>
      <c r="I1083" s="12">
        <v>0</v>
      </c>
      <c r="J1083" s="12">
        <v>1</v>
      </c>
      <c r="K1083" s="13" t="str">
        <f>HYPERLINK("http://twitter.com/download/iphone","Twitter for iPhone")</f>
        <v>Twitter for iPhone</v>
      </c>
      <c r="L1083" s="12">
        <v>251</v>
      </c>
      <c r="M1083" s="12">
        <v>160</v>
      </c>
      <c r="N1083" s="12">
        <v>6</v>
      </c>
      <c r="O1083" s="15"/>
      <c r="P1083" s="6">
        <v>40087.464201388888</v>
      </c>
      <c r="Q1083" s="16" t="s">
        <v>1784</v>
      </c>
      <c r="R1083" s="17" t="s">
        <v>2445</v>
      </c>
      <c r="S1083" s="14" t="s">
        <v>2446</v>
      </c>
      <c r="T1083" s="11"/>
      <c r="U1083" s="10" t="str">
        <f>HYPERLINK("https://pbs.twimg.com/profile_images/1040557182633295873/NPdgYdvg.jpg","View")</f>
        <v>View</v>
      </c>
    </row>
    <row r="1084" spans="1:21" ht="40.799999999999997">
      <c r="A1084" s="6">
        <v>43426.111064814817</v>
      </c>
      <c r="B1084" s="7" t="str">
        <f>HYPERLINK("https://twitter.com/MoncasideAlvear","@MoncasideAlvear")</f>
        <v>@MoncasideAlvear</v>
      </c>
      <c r="C1084" s="8" t="s">
        <v>5971</v>
      </c>
      <c r="D1084" s="9" t="s">
        <v>5972</v>
      </c>
      <c r="E1084" s="10" t="str">
        <f>HYPERLINK("https://twitter.com/MoncasideAlvear/status/1065555471573180416","1065555471573180416")</f>
        <v>1065555471573180416</v>
      </c>
      <c r="F1084" s="14" t="s">
        <v>96</v>
      </c>
      <c r="G1084" s="11"/>
      <c r="H1084" s="11"/>
      <c r="I1084" s="12">
        <v>0</v>
      </c>
      <c r="J1084" s="12">
        <v>0</v>
      </c>
      <c r="K1084" s="13" t="str">
        <f t="shared" ref="K1084:K1087" si="221">HYPERLINK("http://twitter.com","Twitter Web Client")</f>
        <v>Twitter Web Client</v>
      </c>
      <c r="L1084" s="12">
        <v>3040</v>
      </c>
      <c r="M1084" s="12">
        <v>2628</v>
      </c>
      <c r="N1084" s="12">
        <v>360</v>
      </c>
      <c r="O1084" s="15"/>
      <c r="P1084" s="6">
        <v>39716.128472222219</v>
      </c>
      <c r="Q1084" s="16" t="s">
        <v>27</v>
      </c>
      <c r="R1084" s="17" t="s">
        <v>5973</v>
      </c>
      <c r="S1084" s="14" t="s">
        <v>5974</v>
      </c>
      <c r="T1084" s="11"/>
      <c r="U1084" s="10" t="str">
        <f>HYPERLINK("https://pbs.twimg.com/profile_images/785854298827685889/yGAlJSDa.jpg","View")</f>
        <v>View</v>
      </c>
    </row>
    <row r="1085" spans="1:21" ht="30.6">
      <c r="A1085" s="6">
        <v>43426.110868055555</v>
      </c>
      <c r="B1085" s="7" t="str">
        <f>HYPERLINK("https://twitter.com/MrcdsGonval","@MrcdsGonval")</f>
        <v>@MrcdsGonval</v>
      </c>
      <c r="C1085" s="8" t="s">
        <v>5975</v>
      </c>
      <c r="D1085" s="9" t="s">
        <v>5976</v>
      </c>
      <c r="E1085" s="10" t="str">
        <f>HYPERLINK("https://twitter.com/MrcdsGonval/status/1065555400429395968","1065555400429395968")</f>
        <v>1065555400429395968</v>
      </c>
      <c r="F1085" s="14" t="s">
        <v>529</v>
      </c>
      <c r="G1085" s="11"/>
      <c r="H1085" s="11"/>
      <c r="I1085" s="12">
        <v>0</v>
      </c>
      <c r="J1085" s="12">
        <v>1</v>
      </c>
      <c r="K1085" s="13" t="str">
        <f t="shared" si="221"/>
        <v>Twitter Web Client</v>
      </c>
      <c r="L1085" s="12">
        <v>137</v>
      </c>
      <c r="M1085" s="12">
        <v>187</v>
      </c>
      <c r="N1085" s="12">
        <v>2</v>
      </c>
      <c r="O1085" s="15"/>
      <c r="P1085" s="6">
        <v>41048.245694444442</v>
      </c>
      <c r="Q1085" s="16" t="s">
        <v>28</v>
      </c>
      <c r="R1085" s="17" t="s">
        <v>5977</v>
      </c>
      <c r="S1085" s="11"/>
      <c r="T1085" s="11"/>
      <c r="U1085" s="10" t="str">
        <f>HYPERLINK("https://pbs.twimg.com/profile_images/872748021607477248/SJWZkJ2p.jpg","View")</f>
        <v>View</v>
      </c>
    </row>
    <row r="1086" spans="1:21" ht="30.6">
      <c r="A1086" s="6">
        <v>43426.110555555555</v>
      </c>
      <c r="B1086" s="7" t="str">
        <f>HYPERLINK("https://twitter.com/GranCanariaTv","@GranCanariaTv")</f>
        <v>@GranCanariaTv</v>
      </c>
      <c r="C1086" s="8" t="s">
        <v>5978</v>
      </c>
      <c r="D1086" s="9" t="s">
        <v>5979</v>
      </c>
      <c r="E1086" s="10" t="str">
        <f>HYPERLINK("https://twitter.com/GranCanariaTv/status/1065555288089133057","1065555288089133057")</f>
        <v>1065555288089133057</v>
      </c>
      <c r="F1086" s="14" t="s">
        <v>5980</v>
      </c>
      <c r="G1086" s="11"/>
      <c r="H1086" s="11"/>
      <c r="I1086" s="12">
        <v>0</v>
      </c>
      <c r="J1086" s="12">
        <v>0</v>
      </c>
      <c r="K1086" s="13" t="str">
        <f t="shared" si="221"/>
        <v>Twitter Web Client</v>
      </c>
      <c r="L1086" s="12">
        <v>5000</v>
      </c>
      <c r="M1086" s="12">
        <v>3356</v>
      </c>
      <c r="N1086" s="12">
        <v>99</v>
      </c>
      <c r="O1086" s="15"/>
      <c r="P1086" s="6">
        <v>40504.614155092597</v>
      </c>
      <c r="Q1086" s="16" t="s">
        <v>2190</v>
      </c>
      <c r="R1086" s="17" t="s">
        <v>5981</v>
      </c>
      <c r="S1086" s="14" t="s">
        <v>5982</v>
      </c>
      <c r="T1086" s="11"/>
      <c r="U1086" s="10" t="str">
        <f>HYPERLINK("https://pbs.twimg.com/profile_images/728335785527758848/RP6AGTBc.jpg","View")</f>
        <v>View</v>
      </c>
    </row>
    <row r="1087" spans="1:21" ht="20.399999999999999">
      <c r="A1087" s="6">
        <v>43426.110347222224</v>
      </c>
      <c r="B1087" s="7" t="str">
        <f>HYPERLINK("https://twitter.com/PPeroRabioso","@PPeroRabioso")</f>
        <v>@PPeroRabioso</v>
      </c>
      <c r="C1087" s="8" t="s">
        <v>5983</v>
      </c>
      <c r="D1087" s="9" t="s">
        <v>768</v>
      </c>
      <c r="E1087" s="10" t="str">
        <f>HYPERLINK("https://twitter.com/PPeroRabioso/status/1065555211782168576","1065555211782168576")</f>
        <v>1065555211782168576</v>
      </c>
      <c r="F1087" s="14" t="s">
        <v>529</v>
      </c>
      <c r="G1087" s="11"/>
      <c r="H1087" s="11"/>
      <c r="I1087" s="12">
        <v>0</v>
      </c>
      <c r="J1087" s="12">
        <v>0</v>
      </c>
      <c r="K1087" s="13" t="str">
        <f t="shared" si="221"/>
        <v>Twitter Web Client</v>
      </c>
      <c r="L1087" s="12">
        <v>388</v>
      </c>
      <c r="M1087" s="12">
        <v>487</v>
      </c>
      <c r="N1087" s="12">
        <v>10</v>
      </c>
      <c r="O1087" s="15"/>
      <c r="P1087" s="6">
        <v>42026.447256944448</v>
      </c>
      <c r="Q1087" s="11"/>
      <c r="R1087" s="17" t="s">
        <v>5984</v>
      </c>
      <c r="S1087" s="11"/>
      <c r="T1087" s="11"/>
      <c r="U1087" s="10" t="str">
        <f>HYPERLINK("https://pbs.twimg.com/profile_images/914112137097867265/dNLZG_78.jpg","View")</f>
        <v>View</v>
      </c>
    </row>
    <row r="1088" spans="1:21" ht="40.799999999999997">
      <c r="A1088" s="6">
        <v>43426.109907407408</v>
      </c>
      <c r="B1088" s="7" t="str">
        <f>HYPERLINK("https://twitter.com/juanma_alamo","@juanma_alamo")</f>
        <v>@juanma_alamo</v>
      </c>
      <c r="C1088" s="8" t="s">
        <v>5985</v>
      </c>
      <c r="D1088" s="9" t="s">
        <v>5986</v>
      </c>
      <c r="E1088" s="10" t="str">
        <f>HYPERLINK("https://twitter.com/juanma_alamo/status/1065555054025949186","1065555054025949186")</f>
        <v>1065555054025949186</v>
      </c>
      <c r="F1088" s="11"/>
      <c r="G1088" s="14" t="s">
        <v>5987</v>
      </c>
      <c r="H1088" s="11"/>
      <c r="I1088" s="12">
        <v>0</v>
      </c>
      <c r="J1088" s="12">
        <v>0</v>
      </c>
      <c r="K1088" s="13" t="str">
        <f>HYPERLINK("http://twitter.com/download/iphone","Twitter for iPhone")</f>
        <v>Twitter for iPhone</v>
      </c>
      <c r="L1088" s="12">
        <v>2101</v>
      </c>
      <c r="M1088" s="12">
        <v>2036</v>
      </c>
      <c r="N1088" s="12">
        <v>45</v>
      </c>
      <c r="O1088" s="15"/>
      <c r="P1088" s="6">
        <v>40294.174791666665</v>
      </c>
      <c r="Q1088" s="16" t="s">
        <v>5988</v>
      </c>
      <c r="R1088" s="17" t="s">
        <v>5989</v>
      </c>
      <c r="S1088" s="14" t="s">
        <v>5990</v>
      </c>
      <c r="T1088" s="11"/>
      <c r="U1088" s="10" t="str">
        <f>HYPERLINK("https://pbs.twimg.com/profile_images/1008613416632750080/H9k0Gkyr.jpg","View")</f>
        <v>View</v>
      </c>
    </row>
    <row r="1089" spans="1:21" ht="71.400000000000006">
      <c r="A1089" s="6">
        <v>43426.109282407408</v>
      </c>
      <c r="B1089" s="7" t="str">
        <f>HYPERLINK("https://twitter.com/Boicot_Cat_YA","@Boicot_Cat_YA")</f>
        <v>@Boicot_Cat_YA</v>
      </c>
      <c r="C1089" s="8" t="s">
        <v>2447</v>
      </c>
      <c r="D1089" s="9" t="s">
        <v>2448</v>
      </c>
      <c r="E1089" s="10" t="str">
        <f>HYPERLINK("https://twitter.com/Boicot_Cat_YA/status/1065554828670238720","1065554828670238720")</f>
        <v>1065554828670238720</v>
      </c>
      <c r="F1089" s="16" t="s">
        <v>2377</v>
      </c>
      <c r="G1089" s="11"/>
      <c r="H1089" s="11"/>
      <c r="I1089" s="12">
        <v>0</v>
      </c>
      <c r="J1089" s="12">
        <v>0</v>
      </c>
      <c r="K1089" s="13" t="str">
        <f>HYPERLINK("http://twitter.com/download/android","Twitter for Android")</f>
        <v>Twitter for Android</v>
      </c>
      <c r="L1089" s="12">
        <v>634</v>
      </c>
      <c r="M1089" s="12">
        <v>1027</v>
      </c>
      <c r="N1089" s="12">
        <v>1</v>
      </c>
      <c r="O1089" s="15"/>
      <c r="P1089" s="6">
        <v>43044.668807870374</v>
      </c>
      <c r="Q1089" s="16" t="s">
        <v>28</v>
      </c>
      <c r="R1089" s="17" t="s">
        <v>2450</v>
      </c>
      <c r="S1089" s="11"/>
      <c r="T1089" s="11"/>
      <c r="U1089" s="10" t="str">
        <f>HYPERLINK("https://pbs.twimg.com/profile_images/1044360386093301761/Xx6lMgJG.jpg","View")</f>
        <v>View</v>
      </c>
    </row>
    <row r="1090" spans="1:21" ht="51">
      <c r="A1090" s="6">
        <v>43426.109131944446</v>
      </c>
      <c r="B1090" s="7" t="str">
        <f>HYPERLINK("https://twitter.com/VcondeD","@VcondeD")</f>
        <v>@VcondeD</v>
      </c>
      <c r="C1090" s="8" t="s">
        <v>5991</v>
      </c>
      <c r="D1090" s="9" t="s">
        <v>5992</v>
      </c>
      <c r="E1090" s="10" t="str">
        <f>HYPERLINK("https://twitter.com/VcondeD/status/1065554774194573313","1065554774194573313")</f>
        <v>1065554774194573313</v>
      </c>
      <c r="F1090" s="14" t="s">
        <v>96</v>
      </c>
      <c r="G1090" s="11"/>
      <c r="H1090" s="11"/>
      <c r="I1090" s="12">
        <v>0</v>
      </c>
      <c r="J1090" s="12">
        <v>0</v>
      </c>
      <c r="K1090" s="13" t="str">
        <f>HYPERLINK("http://twitter.com/download/iphone","Twitter for iPhone")</f>
        <v>Twitter for iPhone</v>
      </c>
      <c r="L1090" s="12">
        <v>40</v>
      </c>
      <c r="M1090" s="12">
        <v>108</v>
      </c>
      <c r="N1090" s="12">
        <v>2</v>
      </c>
      <c r="O1090" s="15"/>
      <c r="P1090" s="6">
        <v>40925.347997685181</v>
      </c>
      <c r="Q1090" s="16" t="s">
        <v>5993</v>
      </c>
      <c r="R1090" s="17" t="s">
        <v>5994</v>
      </c>
      <c r="S1090" s="11"/>
      <c r="T1090" s="11"/>
      <c r="U1090" s="10" t="str">
        <f>HYPERLINK("https://pbs.twimg.com/profile_images/569605466842755072/HRXMWApW.jpeg","View")</f>
        <v>View</v>
      </c>
    </row>
    <row r="1091" spans="1:21" ht="20.399999999999999">
      <c r="A1091" s="6">
        <v>43426.1091087963</v>
      </c>
      <c r="B1091" s="7" t="str">
        <f>HYPERLINK("https://twitter.com/rscabanillas","@rscabanillas")</f>
        <v>@rscabanillas</v>
      </c>
      <c r="C1091" s="8" t="s">
        <v>5638</v>
      </c>
      <c r="D1091" s="9" t="s">
        <v>5995</v>
      </c>
      <c r="E1091" s="10" t="str">
        <f>HYPERLINK("https://twitter.com/rscabanillas/status/1065554764623200256","1065554764623200256")</f>
        <v>1065554764623200256</v>
      </c>
      <c r="F1091" s="11"/>
      <c r="G1091" s="11"/>
      <c r="H1091" s="11"/>
      <c r="I1091" s="12">
        <v>0</v>
      </c>
      <c r="J1091" s="12">
        <v>0</v>
      </c>
      <c r="K1091" s="13" t="str">
        <f>HYPERLINK("http://twitter.com/download/android","Twitter for Android")</f>
        <v>Twitter for Android</v>
      </c>
      <c r="L1091" s="12">
        <v>235</v>
      </c>
      <c r="M1091" s="12">
        <v>648</v>
      </c>
      <c r="N1091" s="12">
        <v>8</v>
      </c>
      <c r="O1091" s="15"/>
      <c r="P1091" s="6">
        <v>40281.528067129628</v>
      </c>
      <c r="Q1091" s="16" t="s">
        <v>5640</v>
      </c>
      <c r="R1091" s="17" t="s">
        <v>5641</v>
      </c>
      <c r="S1091" s="11"/>
      <c r="T1091" s="11"/>
      <c r="U1091" s="10" t="str">
        <f>HYPERLINK("https://pbs.twimg.com/profile_images/2466541336/b20z9vh4c994siwzfxv8.jpeg","View")</f>
        <v>View</v>
      </c>
    </row>
    <row r="1092" spans="1:21" ht="51">
      <c r="A1092" s="6">
        <v>43426.107685185183</v>
      </c>
      <c r="B1092" s="7" t="str">
        <f>HYPERLINK("https://twitter.com/andros173","@andros173")</f>
        <v>@andros173</v>
      </c>
      <c r="C1092" s="8" t="s">
        <v>2452</v>
      </c>
      <c r="D1092" s="9" t="s">
        <v>2453</v>
      </c>
      <c r="E1092" s="10" t="str">
        <f>HYPERLINK("https://twitter.com/andros173/status/1065554247570341888","1065554247570341888")</f>
        <v>1065554247570341888</v>
      </c>
      <c r="F1092" s="14" t="s">
        <v>2454</v>
      </c>
      <c r="G1092" s="14" t="s">
        <v>2455</v>
      </c>
      <c r="H1092" s="11"/>
      <c r="I1092" s="12">
        <v>34</v>
      </c>
      <c r="J1092" s="12">
        <v>26</v>
      </c>
      <c r="K1092" s="13" t="str">
        <f t="shared" ref="K1092:K1097" si="222">HYPERLINK("http://twitter.com","Twitter Web Client")</f>
        <v>Twitter Web Client</v>
      </c>
      <c r="L1092" s="12">
        <v>4573</v>
      </c>
      <c r="M1092" s="12">
        <v>4404</v>
      </c>
      <c r="N1092" s="12">
        <v>35</v>
      </c>
      <c r="O1092" s="15"/>
      <c r="P1092" s="6">
        <v>42364.521006944444</v>
      </c>
      <c r="Q1092" s="16" t="s">
        <v>2458</v>
      </c>
      <c r="R1092" s="17" t="s">
        <v>2459</v>
      </c>
      <c r="S1092" s="11"/>
      <c r="T1092" s="11"/>
      <c r="U1092" s="10" t="str">
        <f>HYPERLINK("https://pbs.twimg.com/profile_images/1047563175724552192/MOTfiijw.jpg","View")</f>
        <v>View</v>
      </c>
    </row>
    <row r="1093" spans="1:21" ht="40.799999999999997">
      <c r="A1093" s="6">
        <v>43426.10728009259</v>
      </c>
      <c r="B1093" s="7" t="str">
        <f>HYPERLINK("https://twitter.com/Timbaler_Bruch","@Timbaler_Bruch")</f>
        <v>@Timbaler_Bruch</v>
      </c>
      <c r="C1093" s="8" t="s">
        <v>2461</v>
      </c>
      <c r="D1093" s="9" t="s">
        <v>2462</v>
      </c>
      <c r="E1093" s="10" t="str">
        <f>HYPERLINK("https://twitter.com/Timbaler_Bruch/status/1065554101709213697","1065554101709213697")</f>
        <v>1065554101709213697</v>
      </c>
      <c r="F1093" s="11"/>
      <c r="G1093" s="11"/>
      <c r="H1093" s="11"/>
      <c r="I1093" s="12">
        <v>0</v>
      </c>
      <c r="J1093" s="12">
        <v>1</v>
      </c>
      <c r="K1093" s="13" t="str">
        <f t="shared" si="222"/>
        <v>Twitter Web Client</v>
      </c>
      <c r="L1093" s="12">
        <v>221</v>
      </c>
      <c r="M1093" s="12">
        <v>635</v>
      </c>
      <c r="N1093" s="12">
        <v>1</v>
      </c>
      <c r="O1093" s="15"/>
      <c r="P1093" s="6">
        <v>42976.287199074075</v>
      </c>
      <c r="Q1093" s="16" t="s">
        <v>2463</v>
      </c>
      <c r="R1093" s="17" t="s">
        <v>2464</v>
      </c>
      <c r="S1093" s="11"/>
      <c r="T1093" s="11"/>
      <c r="U1093" s="10" t="str">
        <f>HYPERLINK("https://pbs.twimg.com/profile_images/902531282068021248/sRL0UEOd.jpg","View")</f>
        <v>View</v>
      </c>
    </row>
    <row r="1094" spans="1:21" ht="20.399999999999999">
      <c r="A1094" s="6">
        <v>43426.107083333336</v>
      </c>
      <c r="B1094" s="7" t="str">
        <f>HYPERLINK("https://twitter.com/sestremera","@sestremera")</f>
        <v>@sestremera</v>
      </c>
      <c r="C1094" s="8" t="s">
        <v>5996</v>
      </c>
      <c r="D1094" s="9" t="s">
        <v>768</v>
      </c>
      <c r="E1094" s="10" t="str">
        <f>HYPERLINK("https://twitter.com/sestremera/status/1065554031010037760","1065554031010037760")</f>
        <v>1065554031010037760</v>
      </c>
      <c r="F1094" s="14" t="s">
        <v>529</v>
      </c>
      <c r="G1094" s="11"/>
      <c r="H1094" s="11"/>
      <c r="I1094" s="12">
        <v>0</v>
      </c>
      <c r="J1094" s="12">
        <v>0</v>
      </c>
      <c r="K1094" s="13" t="str">
        <f t="shared" si="222"/>
        <v>Twitter Web Client</v>
      </c>
      <c r="L1094" s="12">
        <v>333</v>
      </c>
      <c r="M1094" s="12">
        <v>422</v>
      </c>
      <c r="N1094" s="12">
        <v>10</v>
      </c>
      <c r="O1094" s="15"/>
      <c r="P1094" s="6">
        <v>40642.116805555554</v>
      </c>
      <c r="Q1094" s="11"/>
      <c r="R1094" s="17" t="s">
        <v>5997</v>
      </c>
      <c r="S1094" s="11"/>
      <c r="T1094" s="11"/>
      <c r="U1094" s="10" t="str">
        <f>HYPERLINK("https://pbs.twimg.com/profile_images/873656869495197700/wJMc_W6h.jpg","View")</f>
        <v>View</v>
      </c>
    </row>
    <row r="1095" spans="1:21" ht="81.599999999999994">
      <c r="A1095" s="6">
        <v>43426.106909722221</v>
      </c>
      <c r="B1095" s="7" t="str">
        <f>HYPERLINK("https://twitter.com/UniversodeA","@UniversodeA")</f>
        <v>@UniversodeA</v>
      </c>
      <c r="C1095" s="8" t="s">
        <v>2465</v>
      </c>
      <c r="D1095" s="9" t="s">
        <v>2466</v>
      </c>
      <c r="E1095" s="10" t="str">
        <f>HYPERLINK("https://twitter.com/UniversodeA/status/1065553966698823680","1065553966698823680")</f>
        <v>1065553966698823680</v>
      </c>
      <c r="F1095" s="16" t="s">
        <v>2467</v>
      </c>
      <c r="G1095" s="11"/>
      <c r="H1095" s="11"/>
      <c r="I1095" s="12">
        <v>0</v>
      </c>
      <c r="J1095" s="12">
        <v>0</v>
      </c>
      <c r="K1095" s="13" t="str">
        <f t="shared" si="222"/>
        <v>Twitter Web Client</v>
      </c>
      <c r="L1095" s="12">
        <v>13</v>
      </c>
      <c r="M1095" s="12">
        <v>2</v>
      </c>
      <c r="N1095" s="12">
        <v>1</v>
      </c>
      <c r="O1095" s="15"/>
      <c r="P1095" s="6">
        <v>40648.595625000002</v>
      </c>
      <c r="Q1095" s="16" t="s">
        <v>2468</v>
      </c>
      <c r="R1095" s="17" t="s">
        <v>2469</v>
      </c>
      <c r="S1095" s="14" t="s">
        <v>2470</v>
      </c>
      <c r="T1095" s="11"/>
      <c r="U1095" s="10" t="str">
        <f>HYPERLINK("https://pbs.twimg.com/profile_images/1312852835/Logo_Universo_de_A.jpg","View")</f>
        <v>View</v>
      </c>
    </row>
    <row r="1096" spans="1:21" ht="20.399999999999999">
      <c r="A1096" s="6">
        <v>43426.106446759259</v>
      </c>
      <c r="B1096" s="7" t="str">
        <f>HYPERLINK("https://twitter.com/Alfacebook64","@Alfacebook64")</f>
        <v>@Alfacebook64</v>
      </c>
      <c r="C1096" s="8" t="s">
        <v>1204</v>
      </c>
      <c r="D1096" s="9" t="s">
        <v>5998</v>
      </c>
      <c r="E1096" s="10" t="str">
        <f>HYPERLINK("https://twitter.com/Alfacebook64/status/1065553801292259330","1065553801292259330")</f>
        <v>1065553801292259330</v>
      </c>
      <c r="F1096" s="14" t="s">
        <v>5999</v>
      </c>
      <c r="G1096" s="11"/>
      <c r="H1096" s="11"/>
      <c r="I1096" s="12">
        <v>2</v>
      </c>
      <c r="J1096" s="12">
        <v>2</v>
      </c>
      <c r="K1096" s="13" t="str">
        <f t="shared" si="222"/>
        <v>Twitter Web Client</v>
      </c>
      <c r="L1096" s="12">
        <v>4225</v>
      </c>
      <c r="M1096" s="12">
        <v>3495</v>
      </c>
      <c r="N1096" s="12">
        <v>39</v>
      </c>
      <c r="O1096" s="15"/>
      <c r="P1096" s="6">
        <v>42189.576504629629</v>
      </c>
      <c r="Q1096" s="16" t="s">
        <v>1208</v>
      </c>
      <c r="R1096" s="17" t="s">
        <v>1209</v>
      </c>
      <c r="S1096" s="11"/>
      <c r="T1096" s="11"/>
      <c r="U1096" s="10" t="str">
        <f>HYPERLINK("https://pbs.twimg.com/profile_images/636562609811099648/TOG_sQjr.jpg","View")</f>
        <v>View</v>
      </c>
    </row>
    <row r="1097" spans="1:21" ht="61.2">
      <c r="A1097" s="6">
        <v>43426.10633101852</v>
      </c>
      <c r="B1097" s="7" t="str">
        <f>HYPERLINK("https://twitter.com/jackahufinger","@jackahufinger")</f>
        <v>@jackahufinger</v>
      </c>
      <c r="C1097" s="8" t="s">
        <v>2471</v>
      </c>
      <c r="D1097" s="9" t="s">
        <v>2472</v>
      </c>
      <c r="E1097" s="10" t="str">
        <f>HYPERLINK("https://twitter.com/jackahufinger/status/1065553759378579457","1065553759378579457")</f>
        <v>1065553759378579457</v>
      </c>
      <c r="F1097" s="16" t="s">
        <v>2473</v>
      </c>
      <c r="G1097" s="14" t="s">
        <v>2474</v>
      </c>
      <c r="H1097" s="11"/>
      <c r="I1097" s="12">
        <v>0</v>
      </c>
      <c r="J1097" s="12">
        <v>0</v>
      </c>
      <c r="K1097" s="13" t="str">
        <f t="shared" si="222"/>
        <v>Twitter Web Client</v>
      </c>
      <c r="L1097" s="12">
        <v>54</v>
      </c>
      <c r="M1097" s="12">
        <v>61</v>
      </c>
      <c r="N1097" s="12">
        <v>5</v>
      </c>
      <c r="O1097" s="15"/>
      <c r="P1097" s="6">
        <v>40661.919189814813</v>
      </c>
      <c r="Q1097" s="16" t="s">
        <v>38</v>
      </c>
      <c r="R1097" s="17" t="s">
        <v>2475</v>
      </c>
      <c r="S1097" s="14" t="s">
        <v>2476</v>
      </c>
      <c r="T1097" s="11"/>
      <c r="U1097" s="10" t="str">
        <f>HYPERLINK("https://pbs.twimg.com/profile_images/871497527870337024/dnPNAa9R.jpg","View")</f>
        <v>View</v>
      </c>
    </row>
    <row r="1098" spans="1:21" ht="40.799999999999997">
      <c r="A1098" s="6">
        <v>43426.106296296297</v>
      </c>
      <c r="B1098" s="7" t="str">
        <f>HYPERLINK("https://twitter.com/ahorapodemos","@ahorapodemos")</f>
        <v>@ahorapodemos</v>
      </c>
      <c r="C1098" s="8" t="s">
        <v>48</v>
      </c>
      <c r="D1098" s="9" t="s">
        <v>2477</v>
      </c>
      <c r="E1098" s="10" t="str">
        <f>HYPERLINK("https://twitter.com/ahorapodemos/status/1065553743608012800","1065553743608012800")</f>
        <v>1065553743608012800</v>
      </c>
      <c r="F1098" s="14" t="s">
        <v>96</v>
      </c>
      <c r="G1098" s="14" t="s">
        <v>2478</v>
      </c>
      <c r="H1098" s="11"/>
      <c r="I1098" s="12">
        <v>29</v>
      </c>
      <c r="J1098" s="12">
        <v>46</v>
      </c>
      <c r="K1098" s="13" t="str">
        <f>HYPERLINK("https://studio.twitter.com","Media Studio")</f>
        <v>Media Studio</v>
      </c>
      <c r="L1098" s="12">
        <v>1338987</v>
      </c>
      <c r="M1098" s="12">
        <v>1529</v>
      </c>
      <c r="N1098" s="12">
        <v>5654</v>
      </c>
      <c r="O1098" s="18" t="s">
        <v>52</v>
      </c>
      <c r="P1098" s="6">
        <v>41651.201979166668</v>
      </c>
      <c r="Q1098" s="16" t="s">
        <v>54</v>
      </c>
      <c r="R1098" s="17" t="s">
        <v>56</v>
      </c>
      <c r="S1098" s="14" t="s">
        <v>58</v>
      </c>
      <c r="T1098" s="11"/>
      <c r="U1098" s="10" t="str">
        <f>HYPERLINK("https://pbs.twimg.com/profile_images/1036536413548892160/J0K-j7cz.jpg","View")</f>
        <v>View</v>
      </c>
    </row>
    <row r="1099" spans="1:21" ht="30.6">
      <c r="A1099" s="6">
        <v>43426.105486111112</v>
      </c>
      <c r="B1099" s="7" t="str">
        <f>HYPERLINK("https://twitter.com/rscabanillas","@rscabanillas")</f>
        <v>@rscabanillas</v>
      </c>
      <c r="C1099" s="8" t="s">
        <v>5638</v>
      </c>
      <c r="D1099" s="9" t="s">
        <v>6000</v>
      </c>
      <c r="E1099" s="10" t="str">
        <f>HYPERLINK("https://twitter.com/rscabanillas/status/1065553449780199424","1065553449780199424")</f>
        <v>1065553449780199424</v>
      </c>
      <c r="F1099" s="11"/>
      <c r="G1099" s="11"/>
      <c r="H1099" s="11"/>
      <c r="I1099" s="12">
        <v>0</v>
      </c>
      <c r="J1099" s="12">
        <v>0</v>
      </c>
      <c r="K1099" s="13" t="str">
        <f t="shared" ref="K1099:K1100" si="223">HYPERLINK("http://twitter.com/download/android","Twitter for Android")</f>
        <v>Twitter for Android</v>
      </c>
      <c r="L1099" s="12">
        <v>235</v>
      </c>
      <c r="M1099" s="12">
        <v>648</v>
      </c>
      <c r="N1099" s="12">
        <v>8</v>
      </c>
      <c r="O1099" s="15"/>
      <c r="P1099" s="6">
        <v>40281.528067129628</v>
      </c>
      <c r="Q1099" s="16" t="s">
        <v>5640</v>
      </c>
      <c r="R1099" s="17" t="s">
        <v>5641</v>
      </c>
      <c r="S1099" s="11"/>
      <c r="T1099" s="11"/>
      <c r="U1099" s="10" t="str">
        <f>HYPERLINK("https://pbs.twimg.com/profile_images/2466541336/b20z9vh4c994siwzfxv8.jpeg","View")</f>
        <v>View</v>
      </c>
    </row>
    <row r="1100" spans="1:21" ht="13.2">
      <c r="A1100" s="6">
        <v>43426.105208333334</v>
      </c>
      <c r="B1100" s="7" t="str">
        <f>HYPERLINK("https://twitter.com/MamasitaTomoe","@MamasitaTomoe")</f>
        <v>@MamasitaTomoe</v>
      </c>
      <c r="C1100" s="8" t="s">
        <v>6001</v>
      </c>
      <c r="D1100" s="9" t="s">
        <v>6002</v>
      </c>
      <c r="E1100" s="10" t="str">
        <f>HYPERLINK("https://twitter.com/MamasitaTomoe/status/1065553352212254722","1065553352212254722")</f>
        <v>1065553352212254722</v>
      </c>
      <c r="F1100" s="11"/>
      <c r="G1100" s="11"/>
      <c r="H1100" s="11"/>
      <c r="I1100" s="12">
        <v>0</v>
      </c>
      <c r="J1100" s="12">
        <v>1</v>
      </c>
      <c r="K1100" s="13" t="str">
        <f t="shared" si="223"/>
        <v>Twitter for Android</v>
      </c>
      <c r="L1100" s="12">
        <v>203</v>
      </c>
      <c r="M1100" s="12">
        <v>245</v>
      </c>
      <c r="N1100" s="12">
        <v>4</v>
      </c>
      <c r="O1100" s="15"/>
      <c r="P1100" s="6">
        <v>41214.644363425927</v>
      </c>
      <c r="Q1100" s="16" t="s">
        <v>2352</v>
      </c>
      <c r="R1100" s="17" t="s">
        <v>6003</v>
      </c>
      <c r="S1100" s="14" t="s">
        <v>6004</v>
      </c>
      <c r="T1100" s="11"/>
      <c r="U1100" s="10" t="str">
        <f>HYPERLINK("https://pbs.twimg.com/profile_images/1064633311258189825/gvcJHETM.jpg","View")</f>
        <v>View</v>
      </c>
    </row>
    <row r="1101" spans="1:21" ht="40.799999999999997">
      <c r="A1101" s="6">
        <v>43426.104351851856</v>
      </c>
      <c r="B1101" s="7" t="str">
        <f>HYPERLINK("https://twitter.com/esther_t_a","@esther_t_a")</f>
        <v>@esther_t_a</v>
      </c>
      <c r="C1101" s="8" t="s">
        <v>2483</v>
      </c>
      <c r="D1101" s="9" t="s">
        <v>2484</v>
      </c>
      <c r="E1101" s="10" t="str">
        <f>HYPERLINK("https://twitter.com/esther_t_a/status/1065553040206385152","1065553040206385152")</f>
        <v>1065553040206385152</v>
      </c>
      <c r="F1101" s="14" t="s">
        <v>96</v>
      </c>
      <c r="G1101" s="14" t="s">
        <v>2485</v>
      </c>
      <c r="H1101" s="11"/>
      <c r="I1101" s="12">
        <v>2</v>
      </c>
      <c r="J1101" s="12">
        <v>1</v>
      </c>
      <c r="K1101" s="13" t="str">
        <f>HYPERLINK("http://twitter.com/download/iphone","Twitter for iPhone")</f>
        <v>Twitter for iPhone</v>
      </c>
      <c r="L1101" s="12">
        <v>560</v>
      </c>
      <c r="M1101" s="12">
        <v>684</v>
      </c>
      <c r="N1101" s="12">
        <v>16</v>
      </c>
      <c r="O1101" s="15"/>
      <c r="P1101" s="6">
        <v>40641.462673611109</v>
      </c>
      <c r="Q1101" s="16" t="s">
        <v>2487</v>
      </c>
      <c r="R1101" s="17" t="s">
        <v>2488</v>
      </c>
      <c r="S1101" s="14" t="s">
        <v>2489</v>
      </c>
      <c r="T1101" s="11"/>
      <c r="U1101" s="10" t="str">
        <f>HYPERLINK("https://pbs.twimg.com/profile_images/1031633052643024897/4aJc998j.jpg","View")</f>
        <v>View</v>
      </c>
    </row>
    <row r="1102" spans="1:21" ht="30.6">
      <c r="A1102" s="6">
        <v>43426.104166666672</v>
      </c>
      <c r="B1102" s="7" t="str">
        <f>HYPERLINK("https://twitter.com/elpais_opinion","@elpais_opinion")</f>
        <v>@elpais_opinion</v>
      </c>
      <c r="C1102" s="8" t="s">
        <v>2492</v>
      </c>
      <c r="D1102" s="9" t="s">
        <v>2493</v>
      </c>
      <c r="E1102" s="10" t="str">
        <f>HYPERLINK("https://twitter.com/elpais_opinion/status/1065552973194035200","1065552973194035200")</f>
        <v>1065552973194035200</v>
      </c>
      <c r="F1102" s="14" t="s">
        <v>2454</v>
      </c>
      <c r="G1102" s="11"/>
      <c r="H1102" s="11"/>
      <c r="I1102" s="12">
        <v>5</v>
      </c>
      <c r="J1102" s="12">
        <v>3</v>
      </c>
      <c r="K1102" s="13" t="str">
        <f t="shared" ref="K1102:K1103" si="224">HYPERLINK("https://about.twitter.com/products/tweetdeck","TweetDeck")</f>
        <v>TweetDeck</v>
      </c>
      <c r="L1102" s="12">
        <v>15843</v>
      </c>
      <c r="M1102" s="12">
        <v>502</v>
      </c>
      <c r="N1102" s="12">
        <v>310</v>
      </c>
      <c r="O1102" s="18" t="s">
        <v>52</v>
      </c>
      <c r="P1102" s="6">
        <v>42079.41909722222</v>
      </c>
      <c r="Q1102" s="11"/>
      <c r="R1102" s="17" t="s">
        <v>2497</v>
      </c>
      <c r="S1102" s="14" t="s">
        <v>2498</v>
      </c>
      <c r="T1102" s="11"/>
      <c r="U1102" s="10" t="str">
        <f>HYPERLINK("https://pbs.twimg.com/profile_images/917338666107842560/vKH6bCcF.jpg","View")</f>
        <v>View</v>
      </c>
    </row>
    <row r="1103" spans="1:21" ht="40.799999999999997">
      <c r="A1103" s="6">
        <v>43426.104166666672</v>
      </c>
      <c r="B1103" s="7" t="str">
        <f>HYPERLINK("https://twitter.com/VerdaderaIzqda","@VerdaderaIzqda")</f>
        <v>@VerdaderaIzqda</v>
      </c>
      <c r="C1103" s="8" t="s">
        <v>1238</v>
      </c>
      <c r="D1103" s="9" t="s">
        <v>1240</v>
      </c>
      <c r="E1103" s="10" t="str">
        <f>HYPERLINK("https://twitter.com/VerdaderaIzqda/status/1065552972900327424","1065552972900327424")</f>
        <v>1065552972900327424</v>
      </c>
      <c r="F1103" s="14" t="s">
        <v>1242</v>
      </c>
      <c r="G1103" s="11"/>
      <c r="H1103" s="11"/>
      <c r="I1103" s="12">
        <v>5</v>
      </c>
      <c r="J1103" s="12">
        <v>2</v>
      </c>
      <c r="K1103" s="13" t="str">
        <f t="shared" si="224"/>
        <v>TweetDeck</v>
      </c>
      <c r="L1103" s="12">
        <v>37334</v>
      </c>
      <c r="M1103" s="12">
        <v>15826</v>
      </c>
      <c r="N1103" s="12">
        <v>284</v>
      </c>
      <c r="O1103" s="15"/>
      <c r="P1103" s="6">
        <v>40716.206192129626</v>
      </c>
      <c r="Q1103" s="16" t="s">
        <v>28</v>
      </c>
      <c r="R1103" s="17" t="s">
        <v>1243</v>
      </c>
      <c r="S1103" s="14" t="s">
        <v>1244</v>
      </c>
      <c r="T1103" s="11"/>
      <c r="U1103" s="10" t="str">
        <f>HYPERLINK("https://pbs.twimg.com/profile_images/1407748160/contra_el_comunismo.jpg","View")</f>
        <v>View</v>
      </c>
    </row>
    <row r="1104" spans="1:21" ht="51">
      <c r="A1104" s="6">
        <v>43426.103414351848</v>
      </c>
      <c r="B1104" s="7" t="str">
        <f>HYPERLINK("https://twitter.com/andreasancaa","@andreasancaa")</f>
        <v>@andreasancaa</v>
      </c>
      <c r="C1104" s="8" t="s">
        <v>6005</v>
      </c>
      <c r="D1104" s="9" t="s">
        <v>6006</v>
      </c>
      <c r="E1104" s="10" t="str">
        <f>HYPERLINK("https://twitter.com/andreasancaa/status/1065552699851186176","1065552699851186176")</f>
        <v>1065552699851186176</v>
      </c>
      <c r="F1104" s="11"/>
      <c r="G1104" s="11"/>
      <c r="H1104" s="11"/>
      <c r="I1104" s="12">
        <v>0</v>
      </c>
      <c r="J1104" s="12">
        <v>0</v>
      </c>
      <c r="K1104" s="13" t="str">
        <f>HYPERLINK("http://twitter.com","Twitter Web Client")</f>
        <v>Twitter Web Client</v>
      </c>
      <c r="L1104" s="12">
        <v>179</v>
      </c>
      <c r="M1104" s="12">
        <v>295</v>
      </c>
      <c r="N1104" s="12">
        <v>0</v>
      </c>
      <c r="O1104" s="15"/>
      <c r="P1104" s="6">
        <v>42097.50172453704</v>
      </c>
      <c r="Q1104" s="16" t="s">
        <v>3355</v>
      </c>
      <c r="R1104" s="17" t="s">
        <v>6007</v>
      </c>
      <c r="S1104" s="11"/>
      <c r="T1104" s="11"/>
      <c r="U1104" s="10" t="str">
        <f>HYPERLINK("https://pbs.twimg.com/profile_images/1065361150634835968/r-pTl4EQ.jpg","View")</f>
        <v>View</v>
      </c>
    </row>
    <row r="1105" spans="1:21" ht="40.799999999999997">
      <c r="A1105" s="6">
        <v>43426.103356481486</v>
      </c>
      <c r="B1105" s="7" t="str">
        <f>HYPERLINK("https://twitter.com/pebanguerra","@pebanguerra")</f>
        <v>@pebanguerra</v>
      </c>
      <c r="C1105" s="8" t="s">
        <v>6008</v>
      </c>
      <c r="D1105" s="9" t="s">
        <v>6009</v>
      </c>
      <c r="E1105" s="10" t="str">
        <f>HYPERLINK("https://twitter.com/pebanguerra/status/1065552679693357057","1065552679693357057")</f>
        <v>1065552679693357057</v>
      </c>
      <c r="F1105" s="11"/>
      <c r="G1105" s="11"/>
      <c r="H1105" s="11"/>
      <c r="I1105" s="12">
        <v>0</v>
      </c>
      <c r="J1105" s="12">
        <v>0</v>
      </c>
      <c r="K1105" s="13" t="str">
        <f>HYPERLINK("http://twitter.com/download/android","Twitter for Android")</f>
        <v>Twitter for Android</v>
      </c>
      <c r="L1105" s="12">
        <v>309</v>
      </c>
      <c r="M1105" s="12">
        <v>1907</v>
      </c>
      <c r="N1105" s="12">
        <v>5</v>
      </c>
      <c r="O1105" s="15"/>
      <c r="P1105" s="6">
        <v>40380.788657407407</v>
      </c>
      <c r="Q1105" s="16" t="s">
        <v>901</v>
      </c>
      <c r="R1105" s="17" t="s">
        <v>6010</v>
      </c>
      <c r="S1105" s="11"/>
      <c r="T1105" s="11"/>
      <c r="U1105" s="10" t="str">
        <f>HYPERLINK("https://pbs.twimg.com/profile_images/986642747410042880/I4LDEby-.jpg","View")</f>
        <v>View</v>
      </c>
    </row>
    <row r="1106" spans="1:21" ht="51">
      <c r="A1106" s="6">
        <v>43426.10328703704</v>
      </c>
      <c r="B1106" s="7" t="str">
        <f>HYPERLINK("https://twitter.com/meripita44","@meripita44")</f>
        <v>@meripita44</v>
      </c>
      <c r="C1106" s="8" t="s">
        <v>2499</v>
      </c>
      <c r="D1106" s="9" t="s">
        <v>2500</v>
      </c>
      <c r="E1106" s="10" t="str">
        <f>HYPERLINK("https://twitter.com/meripita44/status/1065552652866588672","1065552652866588672")</f>
        <v>1065552652866588672</v>
      </c>
      <c r="F1106" s="14" t="s">
        <v>96</v>
      </c>
      <c r="G1106" s="11"/>
      <c r="H1106" s="11"/>
      <c r="I1106" s="12">
        <v>26</v>
      </c>
      <c r="J1106" s="12">
        <v>23</v>
      </c>
      <c r="K1106" s="13" t="str">
        <f t="shared" ref="K1106:K1107" si="225">HYPERLINK("http://twitter.com","Twitter Web Client")</f>
        <v>Twitter Web Client</v>
      </c>
      <c r="L1106" s="12">
        <v>5094</v>
      </c>
      <c r="M1106" s="12">
        <v>1005</v>
      </c>
      <c r="N1106" s="12">
        <v>102</v>
      </c>
      <c r="O1106" s="18" t="s">
        <v>52</v>
      </c>
      <c r="P1106" s="6">
        <v>41385.099050925928</v>
      </c>
      <c r="Q1106" s="16" t="s">
        <v>2501</v>
      </c>
      <c r="R1106" s="17" t="s">
        <v>2502</v>
      </c>
      <c r="S1106" s="14" t="s">
        <v>58</v>
      </c>
      <c r="T1106" s="11"/>
      <c r="U1106" s="10" t="str">
        <f>HYPERLINK("https://pbs.twimg.com/profile_images/1045666031526707201/Lq4y3pGo.jpg","View")</f>
        <v>View</v>
      </c>
    </row>
    <row r="1107" spans="1:21" ht="30.6">
      <c r="A1107" s="6">
        <v>43426.100856481484</v>
      </c>
      <c r="B1107" s="7" t="str">
        <f>HYPERLINK("https://twitter.com/gonzalrius","@gonzalrius")</f>
        <v>@gonzalrius</v>
      </c>
      <c r="C1107" s="8" t="s">
        <v>6011</v>
      </c>
      <c r="D1107" s="9" t="s">
        <v>6012</v>
      </c>
      <c r="E1107" s="10" t="str">
        <f>HYPERLINK("https://twitter.com/gonzalrius/status/1065551772155080704","1065551772155080704")</f>
        <v>1065551772155080704</v>
      </c>
      <c r="F1107" s="14" t="s">
        <v>96</v>
      </c>
      <c r="G1107" s="11"/>
      <c r="H1107" s="11"/>
      <c r="I1107" s="12">
        <v>1</v>
      </c>
      <c r="J1107" s="12">
        <v>1</v>
      </c>
      <c r="K1107" s="13" t="str">
        <f t="shared" si="225"/>
        <v>Twitter Web Client</v>
      </c>
      <c r="L1107" s="12">
        <v>454</v>
      </c>
      <c r="M1107" s="12">
        <v>299</v>
      </c>
      <c r="N1107" s="12">
        <v>2</v>
      </c>
      <c r="O1107" s="15"/>
      <c r="P1107" s="6">
        <v>41292.419548611113</v>
      </c>
      <c r="Q1107" s="11"/>
      <c r="R1107" s="17" t="s">
        <v>6013</v>
      </c>
      <c r="S1107" s="11"/>
      <c r="T1107" s="11"/>
      <c r="U1107" s="10" t="str">
        <f>HYPERLINK("https://pbs.twimg.com/profile_images/378800000016163530/83aeb0d8bbf8edd6bf8178ed2121d664.jpeg","View")</f>
        <v>View</v>
      </c>
    </row>
    <row r="1108" spans="1:21" ht="40.799999999999997">
      <c r="A1108" s="6">
        <v>43426.100624999999</v>
      </c>
      <c r="B1108" s="7" t="str">
        <f>HYPERLINK("https://twitter.com/solumbria","@solumbria")</f>
        <v>@solumbria</v>
      </c>
      <c r="C1108" s="8" t="s">
        <v>6014</v>
      </c>
      <c r="D1108" s="9" t="s">
        <v>6015</v>
      </c>
      <c r="E1108" s="10" t="str">
        <f>HYPERLINK("https://twitter.com/solumbria/status/1065551688000593920","1065551688000593920")</f>
        <v>1065551688000593920</v>
      </c>
      <c r="F1108" s="11"/>
      <c r="G1108" s="14" t="s">
        <v>6016</v>
      </c>
      <c r="H1108" s="11"/>
      <c r="I1108" s="12">
        <v>13</v>
      </c>
      <c r="J1108" s="12">
        <v>28</v>
      </c>
      <c r="K1108" s="13" t="str">
        <f>HYPERLINK("http://twitter.com/download/android","Twitter for Android")</f>
        <v>Twitter for Android</v>
      </c>
      <c r="L1108" s="12">
        <v>3308</v>
      </c>
      <c r="M1108" s="12">
        <v>2968</v>
      </c>
      <c r="N1108" s="12">
        <v>29</v>
      </c>
      <c r="O1108" s="15"/>
      <c r="P1108" s="6">
        <v>40428.323136574072</v>
      </c>
      <c r="Q1108" s="16" t="s">
        <v>6017</v>
      </c>
      <c r="R1108" s="17" t="s">
        <v>6018</v>
      </c>
      <c r="S1108" s="11"/>
      <c r="T1108" s="11"/>
      <c r="U1108" s="10" t="str">
        <f>HYPERLINK("https://pbs.twimg.com/profile_images/1011301658180145152/8WtnVNbM.jpg","View")</f>
        <v>View</v>
      </c>
    </row>
    <row r="1109" spans="1:21" ht="30.6">
      <c r="A1109" s="6">
        <v>43426.1</v>
      </c>
      <c r="B1109" s="7" t="str">
        <f>HYPERLINK("https://twitter.com/eldiarioes","@eldiarioes")</f>
        <v>@eldiarioes</v>
      </c>
      <c r="C1109" s="22" t="s">
        <v>3105</v>
      </c>
      <c r="D1109" s="9" t="s">
        <v>3106</v>
      </c>
      <c r="E1109" s="10" t="str">
        <f>HYPERLINK("https://twitter.com/eldiarioes/status/1065551462367813632","1065551462367813632")</f>
        <v>1065551462367813632</v>
      </c>
      <c r="F1109" s="14" t="s">
        <v>3087</v>
      </c>
      <c r="G1109" s="14" t="s">
        <v>2474</v>
      </c>
      <c r="H1109" s="11"/>
      <c r="I1109" s="12">
        <v>312</v>
      </c>
      <c r="J1109" s="12">
        <v>288</v>
      </c>
      <c r="K1109" s="13" t="str">
        <f>HYPERLINK("https://about.twitter.com/products/tweetdeck","TweetDeck")</f>
        <v>TweetDeck</v>
      </c>
      <c r="L1109" s="12">
        <v>936611</v>
      </c>
      <c r="M1109" s="12">
        <v>456</v>
      </c>
      <c r="N1109" s="12">
        <v>11235</v>
      </c>
      <c r="O1109" s="18" t="s">
        <v>52</v>
      </c>
      <c r="P1109" s="6">
        <v>40992.505856481483</v>
      </c>
      <c r="Q1109" s="11"/>
      <c r="R1109" s="17" t="s">
        <v>3110</v>
      </c>
      <c r="S1109" s="14" t="s">
        <v>3112</v>
      </c>
      <c r="T1109" s="11"/>
      <c r="U1109" s="10" t="str">
        <f>HYPERLINK("https://pbs.twimg.com/profile_images/1016600645292511232/eYIkIK2s.jpg","View")</f>
        <v>View</v>
      </c>
    </row>
    <row r="1110" spans="1:21" ht="51">
      <c r="A1110" s="6">
        <v>43426.099664351852</v>
      </c>
      <c r="B1110" s="7" t="str">
        <f>HYPERLINK("https://twitter.com/c_trueno","@c_trueno")</f>
        <v>@c_trueno</v>
      </c>
      <c r="C1110" s="8" t="s">
        <v>6019</v>
      </c>
      <c r="D1110" s="9" t="s">
        <v>6020</v>
      </c>
      <c r="E1110" s="10" t="str">
        <f>HYPERLINK("https://twitter.com/c_trueno/status/1065551339600707584","1065551339600707584")</f>
        <v>1065551339600707584</v>
      </c>
      <c r="F1110" s="16" t="s">
        <v>6021</v>
      </c>
      <c r="G1110" s="11"/>
      <c r="H1110" s="11"/>
      <c r="I1110" s="12">
        <v>0</v>
      </c>
      <c r="J1110" s="12">
        <v>0</v>
      </c>
      <c r="K1110" s="13" t="str">
        <f t="shared" ref="K1110:K1111" si="226">HYPERLINK("http://twitter.com/download/android","Twitter for Android")</f>
        <v>Twitter for Android</v>
      </c>
      <c r="L1110" s="12">
        <v>1512</v>
      </c>
      <c r="M1110" s="12">
        <v>258</v>
      </c>
      <c r="N1110" s="12">
        <v>38</v>
      </c>
      <c r="O1110" s="15"/>
      <c r="P1110" s="6">
        <v>40622.081192129626</v>
      </c>
      <c r="Q1110" s="16" t="s">
        <v>6022</v>
      </c>
      <c r="R1110" s="17" t="s">
        <v>6023</v>
      </c>
      <c r="S1110" s="14" t="s">
        <v>6024</v>
      </c>
      <c r="T1110" s="11"/>
      <c r="U1110" s="10" t="str">
        <f>HYPERLINK("https://pbs.twimg.com/profile_images/510537600713912322/m4acw_YT.jpeg","View")</f>
        <v>View</v>
      </c>
    </row>
    <row r="1111" spans="1:21" ht="30.6">
      <c r="A1111" s="6">
        <v>43426.099282407406</v>
      </c>
      <c r="B1111" s="7" t="str">
        <f>HYPERLINK("https://twitter.com/jjimenezgalvez","@jjimenezgalvez")</f>
        <v>@jjimenezgalvez</v>
      </c>
      <c r="C1111" s="8" t="s">
        <v>6025</v>
      </c>
      <c r="D1111" s="9" t="s">
        <v>6026</v>
      </c>
      <c r="E1111" s="10" t="str">
        <f>HYPERLINK("https://twitter.com/jjimenezgalvez/status/1065551202484740097","1065551202484740097")</f>
        <v>1065551202484740097</v>
      </c>
      <c r="F1111" s="14" t="s">
        <v>96</v>
      </c>
      <c r="G1111" s="11"/>
      <c r="H1111" s="11"/>
      <c r="I1111" s="12">
        <v>0</v>
      </c>
      <c r="J1111" s="12">
        <v>0</v>
      </c>
      <c r="K1111" s="13" t="str">
        <f t="shared" si="226"/>
        <v>Twitter for Android</v>
      </c>
      <c r="L1111" s="12">
        <v>2791</v>
      </c>
      <c r="M1111" s="12">
        <v>1348</v>
      </c>
      <c r="N1111" s="12">
        <v>102</v>
      </c>
      <c r="O1111" s="15"/>
      <c r="P1111" s="6">
        <v>40511.310231481482</v>
      </c>
      <c r="Q1111" s="16" t="s">
        <v>6027</v>
      </c>
      <c r="R1111" s="17" t="s">
        <v>6028</v>
      </c>
      <c r="S1111" s="14" t="s">
        <v>6029</v>
      </c>
      <c r="T1111" s="11"/>
      <c r="U1111" s="10" t="str">
        <f>HYPERLINK("https://pbs.twimg.com/profile_images/1035108476777848832/2id04T5I.jpg","View")</f>
        <v>View</v>
      </c>
    </row>
    <row r="1112" spans="1:21" ht="51">
      <c r="A1112" s="6">
        <v>43426.097650462965</v>
      </c>
      <c r="B1112" s="7" t="str">
        <f>HYPERLINK("https://twitter.com/civio","@civio")</f>
        <v>@civio</v>
      </c>
      <c r="C1112" s="8" t="s">
        <v>2503</v>
      </c>
      <c r="D1112" s="9" t="s">
        <v>2504</v>
      </c>
      <c r="E1112" s="10" t="str">
        <f>HYPERLINK("https://twitter.com/civio/status/1065550611343699973","1065550611343699973")</f>
        <v>1065550611343699973</v>
      </c>
      <c r="F1112" s="14" t="s">
        <v>2505</v>
      </c>
      <c r="G1112" s="11"/>
      <c r="H1112" s="11"/>
      <c r="I1112" s="12">
        <v>1</v>
      </c>
      <c r="J1112" s="12">
        <v>1</v>
      </c>
      <c r="K1112" s="13" t="str">
        <f t="shared" ref="K1112:K1113" si="227">HYPERLINK("http://twitter.com","Twitter Web Client")</f>
        <v>Twitter Web Client</v>
      </c>
      <c r="L1112" s="12">
        <v>20142</v>
      </c>
      <c r="M1112" s="12">
        <v>676</v>
      </c>
      <c r="N1112" s="12">
        <v>1062</v>
      </c>
      <c r="O1112" s="15"/>
      <c r="P1112" s="6">
        <v>40808.664074074077</v>
      </c>
      <c r="Q1112" s="11"/>
      <c r="R1112" s="17" t="s">
        <v>2508</v>
      </c>
      <c r="S1112" s="14" t="s">
        <v>2509</v>
      </c>
      <c r="T1112" s="11"/>
      <c r="U1112" s="10" t="str">
        <f>HYPERLINK("https://pbs.twimg.com/profile_images/913485099143966720/qMB3H4it.jpg","View")</f>
        <v>View</v>
      </c>
    </row>
    <row r="1113" spans="1:21" ht="51">
      <c r="A1113" s="6">
        <v>43426.095659722225</v>
      </c>
      <c r="B1113" s="7" t="str">
        <f>HYPERLINK("https://twitter.com/corpa_manuel","@corpa_manuel")</f>
        <v>@corpa_manuel</v>
      </c>
      <c r="C1113" s="8" t="s">
        <v>6030</v>
      </c>
      <c r="D1113" s="9" t="s">
        <v>6031</v>
      </c>
      <c r="E1113" s="10" t="str">
        <f>HYPERLINK("https://twitter.com/corpa_manuel/status/1065549892205117441","1065549892205117441")</f>
        <v>1065549892205117441</v>
      </c>
      <c r="F1113" s="14" t="s">
        <v>529</v>
      </c>
      <c r="G1113" s="11"/>
      <c r="H1113" s="11"/>
      <c r="I1113" s="12">
        <v>0</v>
      </c>
      <c r="J1113" s="12">
        <v>0</v>
      </c>
      <c r="K1113" s="13" t="str">
        <f t="shared" si="227"/>
        <v>Twitter Web Client</v>
      </c>
      <c r="L1113" s="12">
        <v>232</v>
      </c>
      <c r="M1113" s="12">
        <v>296</v>
      </c>
      <c r="N1113" s="12">
        <v>0</v>
      </c>
      <c r="O1113" s="15"/>
      <c r="P1113" s="6">
        <v>42915.851979166662</v>
      </c>
      <c r="Q1113" s="11"/>
      <c r="R1113" s="17" t="s">
        <v>6032</v>
      </c>
      <c r="S1113" s="11"/>
      <c r="T1113" s="11"/>
      <c r="U1113" s="10" t="str">
        <f>HYPERLINK("https://pbs.twimg.com/profile_images/954058629031788544/grVOr5sM.jpg","View")</f>
        <v>View</v>
      </c>
    </row>
    <row r="1114" spans="1:21" ht="13.2">
      <c r="A1114" s="6">
        <v>43426.095289351855</v>
      </c>
      <c r="B1114" s="7" t="str">
        <f>HYPERLINK("https://twitter.com/Maljohnsen","@Maljohnsen")</f>
        <v>@Maljohnsen</v>
      </c>
      <c r="C1114" s="8" t="s">
        <v>2513</v>
      </c>
      <c r="D1114" s="9" t="s">
        <v>2514</v>
      </c>
      <c r="E1114" s="10" t="str">
        <f>HYPERLINK("https://twitter.com/Maljohnsen/status/1065549755189772288","1065549755189772288")</f>
        <v>1065549755189772288</v>
      </c>
      <c r="F1114" s="11"/>
      <c r="G1114" s="14" t="s">
        <v>2515</v>
      </c>
      <c r="H1114" s="11"/>
      <c r="I1114" s="12">
        <v>0</v>
      </c>
      <c r="J1114" s="12">
        <v>0</v>
      </c>
      <c r="K1114" s="13" t="str">
        <f>HYPERLINK("http://twitter.com/download/android","Twitter for Android")</f>
        <v>Twitter for Android</v>
      </c>
      <c r="L1114" s="12">
        <v>854</v>
      </c>
      <c r="M1114" s="12">
        <v>991</v>
      </c>
      <c r="N1114" s="12">
        <v>27</v>
      </c>
      <c r="O1114" s="15"/>
      <c r="P1114" s="6">
        <v>40562.300717592589</v>
      </c>
      <c r="Q1114" s="16" t="s">
        <v>2517</v>
      </c>
      <c r="R1114" s="17" t="s">
        <v>2518</v>
      </c>
      <c r="S1114" s="14" t="s">
        <v>2519</v>
      </c>
      <c r="T1114" s="11"/>
      <c r="U1114" s="10" t="str">
        <f>HYPERLINK("https://pbs.twimg.com/profile_images/679686656568483841/7fAFbN1N.jpg","View")</f>
        <v>View</v>
      </c>
    </row>
    <row r="1115" spans="1:21" ht="30.6">
      <c r="A1115" s="6">
        <v>43426.095277777778</v>
      </c>
      <c r="B1115" s="7" t="str">
        <f>HYPERLINK("https://twitter.com/Danfaullim","@Danfaullim")</f>
        <v>@Danfaullim</v>
      </c>
      <c r="C1115" s="8" t="s">
        <v>6033</v>
      </c>
      <c r="D1115" s="9" t="s">
        <v>6034</v>
      </c>
      <c r="E1115" s="10" t="str">
        <f>HYPERLINK("https://twitter.com/Danfaullim/status/1065549753927286784","1065549753927286784")</f>
        <v>1065549753927286784</v>
      </c>
      <c r="F1115" s="14" t="s">
        <v>529</v>
      </c>
      <c r="G1115" s="11"/>
      <c r="H1115" s="11"/>
      <c r="I1115" s="12">
        <v>0</v>
      </c>
      <c r="J1115" s="12">
        <v>0</v>
      </c>
      <c r="K1115" s="13" t="str">
        <f t="shared" ref="K1115:K1118" si="228">HYPERLINK("http://twitter.com","Twitter Web Client")</f>
        <v>Twitter Web Client</v>
      </c>
      <c r="L1115" s="12">
        <v>676</v>
      </c>
      <c r="M1115" s="12">
        <v>764</v>
      </c>
      <c r="N1115" s="12">
        <v>20</v>
      </c>
      <c r="O1115" s="15"/>
      <c r="P1115" s="6">
        <v>40784.52070601852</v>
      </c>
      <c r="Q1115" s="16" t="s">
        <v>4746</v>
      </c>
      <c r="R1115" s="17" t="s">
        <v>6035</v>
      </c>
      <c r="S1115" s="11"/>
      <c r="T1115" s="11"/>
      <c r="U1115" s="10" t="str">
        <f>HYPERLINK("https://pbs.twimg.com/profile_images/911989236395593728/zHyTym35.jpg","View")</f>
        <v>View</v>
      </c>
    </row>
    <row r="1116" spans="1:21" ht="40.799999999999997">
      <c r="A1116" s="6">
        <v>43426.094282407408</v>
      </c>
      <c r="B1116" s="7" t="str">
        <f>HYPERLINK("https://twitter.com/AlbertoCdP","@AlbertoCdP")</f>
        <v>@AlbertoCdP</v>
      </c>
      <c r="C1116" s="8" t="s">
        <v>6036</v>
      </c>
      <c r="D1116" s="9" t="s">
        <v>6037</v>
      </c>
      <c r="E1116" s="10" t="str">
        <f>HYPERLINK("https://twitter.com/AlbertoCdP/status/1065549391333863424","1065549391333863424")</f>
        <v>1065549391333863424</v>
      </c>
      <c r="F1116" s="14" t="s">
        <v>96</v>
      </c>
      <c r="G1116" s="11"/>
      <c r="H1116" s="11"/>
      <c r="I1116" s="12">
        <v>0</v>
      </c>
      <c r="J1116" s="12">
        <v>1</v>
      </c>
      <c r="K1116" s="13" t="str">
        <f t="shared" si="228"/>
        <v>Twitter Web Client</v>
      </c>
      <c r="L1116" s="12">
        <v>412</v>
      </c>
      <c r="M1116" s="12">
        <v>436</v>
      </c>
      <c r="N1116" s="12">
        <v>9</v>
      </c>
      <c r="O1116" s="15"/>
      <c r="P1116" s="6">
        <v>40334.36440972222</v>
      </c>
      <c r="Q1116" s="16" t="s">
        <v>6038</v>
      </c>
      <c r="R1116" s="17" t="s">
        <v>6039</v>
      </c>
      <c r="S1116" s="11"/>
      <c r="T1116" s="11"/>
      <c r="U1116" s="10" t="str">
        <f>HYPERLINK("https://pbs.twimg.com/profile_images/999207019897761793/4X5HSyU3.jpg","View")</f>
        <v>View</v>
      </c>
    </row>
    <row r="1117" spans="1:21" ht="40.799999999999997">
      <c r="A1117" s="6">
        <v>43426.093888888892</v>
      </c>
      <c r="B1117" s="7" t="str">
        <f>HYPERLINK("https://twitter.com/Podemos_CANT","@Podemos_CANT")</f>
        <v>@Podemos_CANT</v>
      </c>
      <c r="C1117" s="8" t="s">
        <v>2520</v>
      </c>
      <c r="D1117" s="9" t="s">
        <v>2521</v>
      </c>
      <c r="E1117" s="10" t="str">
        <f>HYPERLINK("https://twitter.com/Podemos_CANT/status/1065549249805467648","1065549249805467648")</f>
        <v>1065549249805467648</v>
      </c>
      <c r="F1117" s="14" t="s">
        <v>96</v>
      </c>
      <c r="G1117" s="11"/>
      <c r="H1117" s="11"/>
      <c r="I1117" s="12">
        <v>1</v>
      </c>
      <c r="J1117" s="12">
        <v>0</v>
      </c>
      <c r="K1117" s="13" t="str">
        <f t="shared" si="228"/>
        <v>Twitter Web Client</v>
      </c>
      <c r="L1117" s="12">
        <v>2531</v>
      </c>
      <c r="M1117" s="12">
        <v>860</v>
      </c>
      <c r="N1117" s="12">
        <v>66</v>
      </c>
      <c r="O1117" s="15"/>
      <c r="P1117" s="6">
        <v>42057.610752314809</v>
      </c>
      <c r="Q1117" s="16" t="s">
        <v>2522</v>
      </c>
      <c r="R1117" s="17" t="s">
        <v>2523</v>
      </c>
      <c r="S1117" s="14" t="s">
        <v>2524</v>
      </c>
      <c r="T1117" s="11"/>
      <c r="U1117" s="10" t="str">
        <f>HYPERLINK("https://pbs.twimg.com/profile_images/1036931946943848448/B4Exu6hx.jpg","View")</f>
        <v>View</v>
      </c>
    </row>
    <row r="1118" spans="1:21" ht="81.599999999999994">
      <c r="A1118" s="6">
        <v>43426.093819444446</v>
      </c>
      <c r="B1118" s="7" t="str">
        <f>HYPERLINK("https://twitter.com/CuevasLacueva","@CuevasLacueva")</f>
        <v>@CuevasLacueva</v>
      </c>
      <c r="C1118" s="8" t="s">
        <v>2525</v>
      </c>
      <c r="D1118" s="9" t="s">
        <v>2526</v>
      </c>
      <c r="E1118" s="10" t="str">
        <f>HYPERLINK("https://twitter.com/CuevasLacueva/status/1065549222504792065","1065549222504792065")</f>
        <v>1065549222504792065</v>
      </c>
      <c r="F1118" s="16" t="s">
        <v>1742</v>
      </c>
      <c r="G1118" s="14" t="s">
        <v>1431</v>
      </c>
      <c r="H1118" s="11"/>
      <c r="I1118" s="12">
        <v>0</v>
      </c>
      <c r="J1118" s="12">
        <v>0</v>
      </c>
      <c r="K1118" s="13" t="str">
        <f t="shared" si="228"/>
        <v>Twitter Web Client</v>
      </c>
      <c r="L1118" s="12">
        <v>678</v>
      </c>
      <c r="M1118" s="12">
        <v>1151</v>
      </c>
      <c r="N1118" s="12">
        <v>4</v>
      </c>
      <c r="O1118" s="15"/>
      <c r="P1118" s="6">
        <v>42844.16034722222</v>
      </c>
      <c r="Q1118" s="16" t="s">
        <v>63</v>
      </c>
      <c r="R1118" s="17" t="s">
        <v>2527</v>
      </c>
      <c r="S1118" s="14" t="s">
        <v>2528</v>
      </c>
      <c r="T1118" s="11"/>
      <c r="U1118" s="10" t="str">
        <f>HYPERLINK("https://pbs.twimg.com/profile_images/854706376135901185/h3e2anWn.jpg","View")</f>
        <v>View</v>
      </c>
    </row>
    <row r="1119" spans="1:21" ht="51">
      <c r="A1119" s="6">
        <v>43426.092893518522</v>
      </c>
      <c r="B1119" s="7" t="str">
        <f>HYPERLINK("https://twitter.com/carmelojorda","@carmelojorda")</f>
        <v>@carmelojorda</v>
      </c>
      <c r="C1119" s="8" t="s">
        <v>6043</v>
      </c>
      <c r="D1119" s="9" t="s">
        <v>3878</v>
      </c>
      <c r="E1119" s="10" t="str">
        <f>HYPERLINK("https://twitter.com/carmelojorda/status/1065548888755634176","1065548888755634176")</f>
        <v>1065548888755634176</v>
      </c>
      <c r="F1119" s="14" t="s">
        <v>3879</v>
      </c>
      <c r="G1119" s="11"/>
      <c r="H1119" s="11"/>
      <c r="I1119" s="12">
        <v>147</v>
      </c>
      <c r="J1119" s="12">
        <v>218</v>
      </c>
      <c r="K1119" s="13" t="str">
        <f>HYPERLINK("https://about.twitter.com/products/tweetdeck","TweetDeck")</f>
        <v>TweetDeck</v>
      </c>
      <c r="L1119" s="12">
        <v>22308</v>
      </c>
      <c r="M1119" s="12">
        <v>1225</v>
      </c>
      <c r="N1119" s="12">
        <v>510</v>
      </c>
      <c r="O1119" s="15"/>
      <c r="P1119" s="6">
        <v>39906.015856481477</v>
      </c>
      <c r="Q1119" s="16" t="s">
        <v>38</v>
      </c>
      <c r="R1119" s="17" t="s">
        <v>6044</v>
      </c>
      <c r="S1119" s="14" t="s">
        <v>6045</v>
      </c>
      <c r="T1119" s="11"/>
      <c r="U1119" s="10" t="str">
        <f>HYPERLINK("https://pbs.twimg.com/profile_images/742254536740372480/h8C1FWv2.jpg","View")</f>
        <v>View</v>
      </c>
    </row>
    <row r="1120" spans="1:21" ht="51">
      <c r="A1120" s="6">
        <v>43426.09097222222</v>
      </c>
      <c r="B1120" s="7" t="str">
        <f>HYPERLINK("https://twitter.com/paquiatienzarey","@paquiatienzarey")</f>
        <v>@paquiatienzarey</v>
      </c>
      <c r="C1120" s="8" t="s">
        <v>6046</v>
      </c>
      <c r="D1120" s="9" t="s">
        <v>6047</v>
      </c>
      <c r="E1120" s="10" t="str">
        <f>HYPERLINK("https://twitter.com/paquiatienzarey/status/1065548191909769217","1065548191909769217")</f>
        <v>1065548191909769217</v>
      </c>
      <c r="F1120" s="14" t="s">
        <v>529</v>
      </c>
      <c r="G1120" s="11"/>
      <c r="H1120" s="11"/>
      <c r="I1120" s="12">
        <v>0</v>
      </c>
      <c r="J1120" s="12">
        <v>0</v>
      </c>
      <c r="K1120" s="13" t="str">
        <f>HYPERLINK("http://twitter.com/download/android","Twitter for Android")</f>
        <v>Twitter for Android</v>
      </c>
      <c r="L1120" s="12">
        <v>317</v>
      </c>
      <c r="M1120" s="12">
        <v>734</v>
      </c>
      <c r="N1120" s="12">
        <v>8</v>
      </c>
      <c r="O1120" s="15"/>
      <c r="P1120" s="6">
        <v>40966.544930555552</v>
      </c>
      <c r="Q1120" s="16" t="s">
        <v>6048</v>
      </c>
      <c r="R1120" s="17" t="s">
        <v>6049</v>
      </c>
      <c r="S1120" s="11"/>
      <c r="T1120" s="11"/>
      <c r="U1120" s="10" t="str">
        <f>HYPERLINK("https://pbs.twimg.com/profile_images/1021155243726376961/dqMiH6Uy.jpg","View")</f>
        <v>View</v>
      </c>
    </row>
    <row r="1121" spans="1:21" ht="51">
      <c r="A1121" s="6">
        <v>43426.09097222222</v>
      </c>
      <c r="B1121" s="7" t="str">
        <f>HYPERLINK("https://twitter.com/ARKAITX14_4_69","@ARKAITX14_4_69")</f>
        <v>@ARKAITX14_4_69</v>
      </c>
      <c r="C1121" s="8" t="s">
        <v>6050</v>
      </c>
      <c r="D1121" s="9" t="s">
        <v>768</v>
      </c>
      <c r="E1121" s="10" t="str">
        <f>HYPERLINK("https://twitter.com/ARKAITX14_4_69/status/1065548190332739584","1065548190332739584")</f>
        <v>1065548190332739584</v>
      </c>
      <c r="F1121" s="14" t="s">
        <v>529</v>
      </c>
      <c r="G1121" s="11"/>
      <c r="H1121" s="11"/>
      <c r="I1121" s="12">
        <v>0</v>
      </c>
      <c r="J1121" s="12">
        <v>0</v>
      </c>
      <c r="K1121" s="13" t="str">
        <f t="shared" ref="K1121:K1122" si="229">HYPERLINK("http://twitter.com","Twitter Web Client")</f>
        <v>Twitter Web Client</v>
      </c>
      <c r="L1121" s="12">
        <v>1507</v>
      </c>
      <c r="M1121" s="12">
        <v>4102</v>
      </c>
      <c r="N1121" s="12">
        <v>11</v>
      </c>
      <c r="O1121" s="15"/>
      <c r="P1121" s="6">
        <v>40801.31894675926</v>
      </c>
      <c r="Q1121" s="16" t="s">
        <v>6051</v>
      </c>
      <c r="R1121" s="17" t="s">
        <v>6052</v>
      </c>
      <c r="S1121" s="14" t="s">
        <v>6053</v>
      </c>
      <c r="T1121" s="11"/>
      <c r="U1121" s="10" t="str">
        <f>HYPERLINK("https://pbs.twimg.com/profile_images/965655540427829248/7wz7axgY.jpg","View")</f>
        <v>View</v>
      </c>
    </row>
    <row r="1122" spans="1:21" ht="51">
      <c r="A1122" s="6">
        <v>43426.090150462958</v>
      </c>
      <c r="B1122" s="7" t="str">
        <f>HYPERLINK("https://twitter.com/GuajeSalvaje","@GuajeSalvaje")</f>
        <v>@GuajeSalvaje</v>
      </c>
      <c r="C1122" s="8" t="s">
        <v>6054</v>
      </c>
      <c r="D1122" s="9" t="s">
        <v>6055</v>
      </c>
      <c r="E1122" s="10" t="str">
        <f>HYPERLINK("https://twitter.com/GuajeSalvaje/status/1065547891958317056","1065547891958317056")</f>
        <v>1065547891958317056</v>
      </c>
      <c r="F1122" s="14" t="s">
        <v>529</v>
      </c>
      <c r="G1122" s="11"/>
      <c r="H1122" s="11"/>
      <c r="I1122" s="12">
        <v>13</v>
      </c>
      <c r="J1122" s="12">
        <v>31</v>
      </c>
      <c r="K1122" s="13" t="str">
        <f t="shared" si="229"/>
        <v>Twitter Web Client</v>
      </c>
      <c r="L1122" s="12">
        <v>24965</v>
      </c>
      <c r="M1122" s="12">
        <v>6130</v>
      </c>
      <c r="N1122" s="12">
        <v>106</v>
      </c>
      <c r="O1122" s="15"/>
      <c r="P1122" s="6">
        <v>43020.330578703702</v>
      </c>
      <c r="Q1122" s="16" t="s">
        <v>214</v>
      </c>
      <c r="R1122" s="17" t="s">
        <v>6056</v>
      </c>
      <c r="S1122" s="11"/>
      <c r="T1122" s="11"/>
      <c r="U1122" s="10" t="str">
        <f>HYPERLINK("https://pbs.twimg.com/profile_images/918501506097311755/uqEJjgtg.jpg","View")</f>
        <v>View</v>
      </c>
    </row>
    <row r="1123" spans="1:21" ht="20.399999999999999">
      <c r="A1123" s="6">
        <v>43426.090104166666</v>
      </c>
      <c r="B1123" s="7" t="str">
        <f>HYPERLINK("https://twitter.com/sebercast","@sebercast")</f>
        <v>@sebercast</v>
      </c>
      <c r="C1123" s="8" t="s">
        <v>6057</v>
      </c>
      <c r="D1123" s="9" t="s">
        <v>6058</v>
      </c>
      <c r="E1123" s="10" t="str">
        <f>HYPERLINK("https://twitter.com/sebercast/status/1065547877588582400","1065547877588582400")</f>
        <v>1065547877588582400</v>
      </c>
      <c r="F1123" s="11"/>
      <c r="G1123" s="14" t="s">
        <v>6059</v>
      </c>
      <c r="H1123" s="11"/>
      <c r="I1123" s="12">
        <v>0</v>
      </c>
      <c r="J1123" s="12">
        <v>1</v>
      </c>
      <c r="K1123" s="13" t="str">
        <f t="shared" ref="K1123:K1128" si="230">HYPERLINK("http://twitter.com/download/android","Twitter for Android")</f>
        <v>Twitter for Android</v>
      </c>
      <c r="L1123" s="12">
        <v>826</v>
      </c>
      <c r="M1123" s="12">
        <v>1055</v>
      </c>
      <c r="N1123" s="12">
        <v>22</v>
      </c>
      <c r="O1123" s="15"/>
      <c r="P1123" s="6">
        <v>39624.442372685182</v>
      </c>
      <c r="Q1123" s="11"/>
      <c r="R1123" s="17" t="s">
        <v>6060</v>
      </c>
      <c r="S1123" s="11"/>
      <c r="T1123" s="11"/>
      <c r="U1123" s="10" t="str">
        <f>HYPERLINK("https://pbs.twimg.com/profile_images/1060673729158660101/SxnZNNDr.jpg","View")</f>
        <v>View</v>
      </c>
    </row>
    <row r="1124" spans="1:21" ht="51">
      <c r="A1124" s="6">
        <v>43426.09</v>
      </c>
      <c r="B1124" s="7" t="str">
        <f>HYPERLINK("https://twitter.com/pcabrera","@pcabrera")</f>
        <v>@pcabrera</v>
      </c>
      <c r="C1124" s="8" t="s">
        <v>6061</v>
      </c>
      <c r="D1124" s="9" t="s">
        <v>6062</v>
      </c>
      <c r="E1124" s="10" t="str">
        <f>HYPERLINK("https://twitter.com/pcabrera/status/1065547838187171842","1065547838187171842")</f>
        <v>1065547838187171842</v>
      </c>
      <c r="F1124" s="11"/>
      <c r="G1124" s="11"/>
      <c r="H1124" s="11"/>
      <c r="I1124" s="12">
        <v>0</v>
      </c>
      <c r="J1124" s="12">
        <v>0</v>
      </c>
      <c r="K1124" s="13" t="str">
        <f t="shared" si="230"/>
        <v>Twitter for Android</v>
      </c>
      <c r="L1124" s="12">
        <v>4661</v>
      </c>
      <c r="M1124" s="12">
        <v>4583</v>
      </c>
      <c r="N1124" s="12">
        <v>53</v>
      </c>
      <c r="O1124" s="15"/>
      <c r="P1124" s="6">
        <v>39201.269641203704</v>
      </c>
      <c r="Q1124" s="16" t="s">
        <v>6063</v>
      </c>
      <c r="R1124" s="17" t="s">
        <v>6064</v>
      </c>
      <c r="S1124" s="11"/>
      <c r="T1124" s="11"/>
      <c r="U1124" s="10" t="str">
        <f>HYPERLINK("https://pbs.twimg.com/profile_images/1062670402659467265/I7lZuiyz.jpg","View")</f>
        <v>View</v>
      </c>
    </row>
    <row r="1125" spans="1:21" ht="30.6">
      <c r="A1125" s="6">
        <v>43426.089942129634</v>
      </c>
      <c r="B1125" s="7" t="str">
        <f>HYPERLINK("https://twitter.com/pradoalberdi","@pradoalberdi")</f>
        <v>@pradoalberdi</v>
      </c>
      <c r="C1125" s="8" t="s">
        <v>1572</v>
      </c>
      <c r="D1125" s="9" t="s">
        <v>768</v>
      </c>
      <c r="E1125" s="10" t="str">
        <f>HYPERLINK("https://twitter.com/pradoalberdi/status/1065547819812044801","1065547819812044801")</f>
        <v>1065547819812044801</v>
      </c>
      <c r="F1125" s="14" t="s">
        <v>529</v>
      </c>
      <c r="G1125" s="11"/>
      <c r="H1125" s="11"/>
      <c r="I1125" s="12">
        <v>1</v>
      </c>
      <c r="J1125" s="12">
        <v>0</v>
      </c>
      <c r="K1125" s="13" t="str">
        <f t="shared" si="230"/>
        <v>Twitter for Android</v>
      </c>
      <c r="L1125" s="12">
        <v>2749</v>
      </c>
      <c r="M1125" s="12">
        <v>2753</v>
      </c>
      <c r="N1125" s="12">
        <v>76</v>
      </c>
      <c r="O1125" s="15"/>
      <c r="P1125" s="6">
        <v>39912.622858796298</v>
      </c>
      <c r="Q1125" s="16" t="s">
        <v>1575</v>
      </c>
      <c r="R1125" s="17" t="s">
        <v>1576</v>
      </c>
      <c r="S1125" s="14" t="s">
        <v>1577</v>
      </c>
      <c r="T1125" s="11"/>
      <c r="U1125" s="10" t="str">
        <f>HYPERLINK("https://pbs.twimg.com/profile_images/1471182899/ALBERDI_PERFIL.jpg","View")</f>
        <v>View</v>
      </c>
    </row>
    <row r="1126" spans="1:21" ht="30.6">
      <c r="A1126" s="6">
        <v>43426.088333333333</v>
      </c>
      <c r="B1126" s="7" t="str">
        <f>HYPERLINK("https://twitter.com/Linorris_","@Linorris_")</f>
        <v>@Linorris_</v>
      </c>
      <c r="C1126" s="8" t="s">
        <v>6065</v>
      </c>
      <c r="D1126" s="9" t="s">
        <v>6066</v>
      </c>
      <c r="E1126" s="10" t="str">
        <f>HYPERLINK("https://twitter.com/Linorris_/status/1065547233595142144","1065547233595142144")</f>
        <v>1065547233595142144</v>
      </c>
      <c r="F1126" s="11"/>
      <c r="G1126" s="11"/>
      <c r="H1126" s="11"/>
      <c r="I1126" s="12">
        <v>2</v>
      </c>
      <c r="J1126" s="12">
        <v>18</v>
      </c>
      <c r="K1126" s="13" t="str">
        <f t="shared" si="230"/>
        <v>Twitter for Android</v>
      </c>
      <c r="L1126" s="12">
        <v>365</v>
      </c>
      <c r="M1126" s="12">
        <v>713</v>
      </c>
      <c r="N1126" s="12">
        <v>2</v>
      </c>
      <c r="O1126" s="15"/>
      <c r="P1126" s="6">
        <v>43001.481805555552</v>
      </c>
      <c r="Q1126" s="11"/>
      <c r="R1126" s="17" t="s">
        <v>6067</v>
      </c>
      <c r="S1126" s="14" t="s">
        <v>6068</v>
      </c>
      <c r="T1126" s="11"/>
      <c r="U1126" s="10" t="str">
        <f>HYPERLINK("https://pbs.twimg.com/profile_images/963550848113631232/v_ItTLbz.jpg","View")</f>
        <v>View</v>
      </c>
    </row>
    <row r="1127" spans="1:21" ht="40.799999999999997">
      <c r="A1127" s="6">
        <v>43426.087731481486</v>
      </c>
      <c r="B1127" s="7" t="str">
        <f>HYPERLINK("https://twitter.com/sebercast","@sebercast")</f>
        <v>@sebercast</v>
      </c>
      <c r="C1127" s="8" t="s">
        <v>6057</v>
      </c>
      <c r="D1127" s="9" t="s">
        <v>6069</v>
      </c>
      <c r="E1127" s="10" t="str">
        <f>HYPERLINK("https://twitter.com/sebercast/status/1065547016057614336","1065547016057614336")</f>
        <v>1065547016057614336</v>
      </c>
      <c r="F1127" s="14" t="s">
        <v>79</v>
      </c>
      <c r="G1127" s="11"/>
      <c r="H1127" s="11"/>
      <c r="I1127" s="12">
        <v>0</v>
      </c>
      <c r="J1127" s="12">
        <v>0</v>
      </c>
      <c r="K1127" s="13" t="str">
        <f t="shared" si="230"/>
        <v>Twitter for Android</v>
      </c>
      <c r="L1127" s="12">
        <v>826</v>
      </c>
      <c r="M1127" s="12">
        <v>1055</v>
      </c>
      <c r="N1127" s="12">
        <v>22</v>
      </c>
      <c r="O1127" s="15"/>
      <c r="P1127" s="6">
        <v>39624.442372685182</v>
      </c>
      <c r="Q1127" s="11"/>
      <c r="R1127" s="17" t="s">
        <v>6060</v>
      </c>
      <c r="S1127" s="11"/>
      <c r="T1127" s="11"/>
      <c r="U1127" s="10" t="str">
        <f>HYPERLINK("https://pbs.twimg.com/profile_images/1060673729158660101/SxnZNNDr.jpg","View")</f>
        <v>View</v>
      </c>
    </row>
    <row r="1128" spans="1:21" ht="81.599999999999994">
      <c r="A1128" s="6">
        <v>43426.087581018517</v>
      </c>
      <c r="B1128" s="7" t="str">
        <f>HYPERLINK("https://twitter.com/Pablito_Pablera","@Pablito_Pablera")</f>
        <v>@Pablito_Pablera</v>
      </c>
      <c r="C1128" s="8" t="s">
        <v>2534</v>
      </c>
      <c r="D1128" s="9" t="s">
        <v>2535</v>
      </c>
      <c r="E1128" s="10" t="str">
        <f>HYPERLINK("https://twitter.com/Pablito_Pablera/status/1065546962710249472","1065546962710249472")</f>
        <v>1065546962710249472</v>
      </c>
      <c r="F1128" s="14" t="s">
        <v>2537</v>
      </c>
      <c r="G1128" s="14" t="s">
        <v>2538</v>
      </c>
      <c r="H1128" s="11"/>
      <c r="I1128" s="12">
        <v>0</v>
      </c>
      <c r="J1128" s="12">
        <v>0</v>
      </c>
      <c r="K1128" s="13" t="str">
        <f t="shared" si="230"/>
        <v>Twitter for Android</v>
      </c>
      <c r="L1128" s="12">
        <v>488</v>
      </c>
      <c r="M1128" s="12">
        <v>632</v>
      </c>
      <c r="N1128" s="12">
        <v>4</v>
      </c>
      <c r="O1128" s="15"/>
      <c r="P1128" s="6">
        <v>42705.38108796296</v>
      </c>
      <c r="Q1128" s="16" t="s">
        <v>28</v>
      </c>
      <c r="R1128" s="17" t="s">
        <v>2539</v>
      </c>
      <c r="S1128" s="11"/>
      <c r="T1128" s="11"/>
      <c r="U1128" s="10" t="str">
        <f>HYPERLINK("https://pbs.twimg.com/profile_images/919922301767954432/OemcINBC.jpg","View")</f>
        <v>View</v>
      </c>
    </row>
    <row r="1129" spans="1:21" ht="20.399999999999999">
      <c r="A1129" s="6">
        <v>43426.086631944447</v>
      </c>
      <c r="B1129" s="7" t="str">
        <f>HYPERLINK("https://twitter.com/Chago1LUIS","@Chago1LUIS")</f>
        <v>@Chago1LUIS</v>
      </c>
      <c r="C1129" s="8" t="s">
        <v>6070</v>
      </c>
      <c r="D1129" s="9" t="s">
        <v>768</v>
      </c>
      <c r="E1129" s="10" t="str">
        <f>HYPERLINK("https://twitter.com/Chago1LUIS/status/1065546620702470145","1065546620702470145")</f>
        <v>1065546620702470145</v>
      </c>
      <c r="F1129" s="14" t="s">
        <v>529</v>
      </c>
      <c r="G1129" s="11"/>
      <c r="H1129" s="11"/>
      <c r="I1129" s="12">
        <v>0</v>
      </c>
      <c r="J1129" s="12">
        <v>0</v>
      </c>
      <c r="K1129" s="13" t="str">
        <f>HYPERLINK("http://twitter.com","Twitter Web Client")</f>
        <v>Twitter Web Client</v>
      </c>
      <c r="L1129" s="12">
        <v>425</v>
      </c>
      <c r="M1129" s="12">
        <v>2266</v>
      </c>
      <c r="N1129" s="12">
        <v>6</v>
      </c>
      <c r="O1129" s="15"/>
      <c r="P1129" s="6">
        <v>41020.07775462963</v>
      </c>
      <c r="Q1129" s="11"/>
      <c r="R1129" s="19"/>
      <c r="S1129" s="11"/>
      <c r="T1129" s="11"/>
      <c r="U1129" s="18" t="s">
        <v>168</v>
      </c>
    </row>
    <row r="1130" spans="1:21" ht="102">
      <c r="A1130" s="6">
        <v>43426.086354166662</v>
      </c>
      <c r="B1130" s="7" t="str">
        <f>HYPERLINK("https://twitter.com/sepaesbi","@sepaesbi")</f>
        <v>@sepaesbi</v>
      </c>
      <c r="C1130" s="8" t="s">
        <v>163</v>
      </c>
      <c r="D1130" s="9" t="s">
        <v>2540</v>
      </c>
      <c r="E1130" s="10" t="str">
        <f>HYPERLINK("https://twitter.com/sepaesbi/status/1065546517099044864","1065546517099044864")</f>
        <v>1065546517099044864</v>
      </c>
      <c r="F1130" s="16" t="s">
        <v>2543</v>
      </c>
      <c r="G1130" s="11"/>
      <c r="H1130" s="11"/>
      <c r="I1130" s="12">
        <v>0</v>
      </c>
      <c r="J1130" s="12">
        <v>0</v>
      </c>
      <c r="K1130" s="13" t="str">
        <f>HYPERLINK("https://mobile.twitter.com","Twitter Lite")</f>
        <v>Twitter Lite</v>
      </c>
      <c r="L1130" s="12">
        <v>57</v>
      </c>
      <c r="M1130" s="12">
        <v>248</v>
      </c>
      <c r="N1130" s="12">
        <v>1</v>
      </c>
      <c r="O1130" s="15"/>
      <c r="P1130" s="6">
        <v>41724.388206018521</v>
      </c>
      <c r="Q1130" s="11"/>
      <c r="R1130" s="19"/>
      <c r="S1130" s="11"/>
      <c r="T1130" s="11"/>
      <c r="U1130" s="18" t="s">
        <v>168</v>
      </c>
    </row>
    <row r="1131" spans="1:21" ht="40.799999999999997">
      <c r="A1131" s="6">
        <v>43426.086087962962</v>
      </c>
      <c r="B1131" s="7" t="str">
        <f>HYPERLINK("https://twitter.com/Asil_Vestra0","@Asil_Vestra0")</f>
        <v>@Asil_Vestra0</v>
      </c>
      <c r="C1131" s="8" t="s">
        <v>6071</v>
      </c>
      <c r="D1131" s="9" t="s">
        <v>6072</v>
      </c>
      <c r="E1131" s="10" t="str">
        <f>HYPERLINK("https://twitter.com/Asil_Vestra0/status/1065546420781031424","1065546420781031424")</f>
        <v>1065546420781031424</v>
      </c>
      <c r="F1131" s="14" t="s">
        <v>96</v>
      </c>
      <c r="G1131" s="11"/>
      <c r="H1131" s="11"/>
      <c r="I1131" s="12">
        <v>3</v>
      </c>
      <c r="J1131" s="12">
        <v>1</v>
      </c>
      <c r="K1131" s="13" t="str">
        <f>HYPERLINK("http://twitter.com","Twitter Web Client")</f>
        <v>Twitter Web Client</v>
      </c>
      <c r="L1131" s="12">
        <v>21383</v>
      </c>
      <c r="M1131" s="12">
        <v>2603</v>
      </c>
      <c r="N1131" s="12">
        <v>216</v>
      </c>
      <c r="O1131" s="15"/>
      <c r="P1131" s="6">
        <v>40327.519571759258</v>
      </c>
      <c r="Q1131" s="16" t="s">
        <v>6073</v>
      </c>
      <c r="R1131" s="17" t="s">
        <v>6074</v>
      </c>
      <c r="S1131" s="14" t="s">
        <v>6075</v>
      </c>
      <c r="T1131" s="11"/>
      <c r="U1131" s="10" t="str">
        <f>HYPERLINK("https://pbs.twimg.com/profile_images/1017157477220175872/thAgQ9CN.jpg","View")</f>
        <v>View</v>
      </c>
    </row>
    <row r="1132" spans="1:21" ht="40.799999999999997">
      <c r="A1132" s="6">
        <v>43426.085902777777</v>
      </c>
      <c r="B1132" s="7" t="str">
        <f>HYPERLINK("https://twitter.com/sai_podemos","@sai_podemos")</f>
        <v>@sai_podemos</v>
      </c>
      <c r="C1132" s="8" t="s">
        <v>2547</v>
      </c>
      <c r="D1132" s="9" t="s">
        <v>2548</v>
      </c>
      <c r="E1132" s="10" t="str">
        <f>HYPERLINK("https://twitter.com/sai_podemos/status/1065546354406158336","1065546354406158336")</f>
        <v>1065546354406158336</v>
      </c>
      <c r="F1132" s="14" t="s">
        <v>96</v>
      </c>
      <c r="G1132" s="11"/>
      <c r="H1132" s="11"/>
      <c r="I1132" s="12">
        <v>0</v>
      </c>
      <c r="J1132" s="12">
        <v>0</v>
      </c>
      <c r="K1132" s="13" t="str">
        <f t="shared" ref="K1132:K1133" si="231">HYPERLINK("http://twitter.com/download/iphone","Twitter for iPhone")</f>
        <v>Twitter for iPhone</v>
      </c>
      <c r="L1132" s="12">
        <v>551</v>
      </c>
      <c r="M1132" s="12">
        <v>602</v>
      </c>
      <c r="N1132" s="12">
        <v>9</v>
      </c>
      <c r="O1132" s="15"/>
      <c r="P1132" s="6">
        <v>43137.075648148151</v>
      </c>
      <c r="Q1132" s="11"/>
      <c r="R1132" s="17" t="s">
        <v>2554</v>
      </c>
      <c r="S1132" s="14" t="s">
        <v>2555</v>
      </c>
      <c r="T1132" s="11"/>
      <c r="U1132" s="10" t="str">
        <f>HYPERLINK("https://pbs.twimg.com/profile_images/961619454936403968/j1ZCCFw5.jpg","View")</f>
        <v>View</v>
      </c>
    </row>
    <row r="1133" spans="1:21" ht="51">
      <c r="A1133" s="6">
        <v>43426.083831018521</v>
      </c>
      <c r="B1133" s="7" t="str">
        <f>HYPERLINK("https://twitter.com/Irene_Montero_","@Irene_Montero_")</f>
        <v>@Irene_Montero_</v>
      </c>
      <c r="C1133" s="8" t="s">
        <v>2559</v>
      </c>
      <c r="D1133" s="9" t="s">
        <v>2560</v>
      </c>
      <c r="E1133" s="10" t="str">
        <f>HYPERLINK("https://twitter.com/Irene_Montero_/status/1065545602002546688","1065545602002546688")</f>
        <v>1065545602002546688</v>
      </c>
      <c r="F1133" s="14" t="s">
        <v>96</v>
      </c>
      <c r="G1133" s="11"/>
      <c r="H1133" s="11"/>
      <c r="I1133" s="12">
        <v>909</v>
      </c>
      <c r="J1133" s="12">
        <v>1954</v>
      </c>
      <c r="K1133" s="13" t="str">
        <f t="shared" si="231"/>
        <v>Twitter for iPhone</v>
      </c>
      <c r="L1133" s="12">
        <v>264124</v>
      </c>
      <c r="M1133" s="12">
        <v>1849</v>
      </c>
      <c r="N1133" s="12">
        <v>1333</v>
      </c>
      <c r="O1133" s="18" t="s">
        <v>52</v>
      </c>
      <c r="P1133" s="6">
        <v>40799.269097222219</v>
      </c>
      <c r="Q1133" s="16" t="s">
        <v>38</v>
      </c>
      <c r="R1133" s="17" t="s">
        <v>2562</v>
      </c>
      <c r="S1133" s="14" t="s">
        <v>2563</v>
      </c>
      <c r="T1133" s="11"/>
      <c r="U1133" s="10" t="str">
        <f>HYPERLINK("https://pbs.twimg.com/profile_images/1044510660162408448/5c0vIIT5.jpg","View")</f>
        <v>View</v>
      </c>
    </row>
    <row r="1134" spans="1:21" ht="51">
      <c r="A1134" s="6">
        <v>43426.083414351851</v>
      </c>
      <c r="B1134" s="7" t="str">
        <f>HYPERLINK("https://twitter.com/MidnighInMadrid","@MidnighInMadrid")</f>
        <v>@MidnighInMadrid</v>
      </c>
      <c r="C1134" s="8" t="s">
        <v>2564</v>
      </c>
      <c r="D1134" s="9" t="s">
        <v>2565</v>
      </c>
      <c r="E1134" s="10" t="str">
        <f>HYPERLINK("https://twitter.com/MidnighInMadrid/status/1065545452689518593","1065545452689518593")</f>
        <v>1065545452689518593</v>
      </c>
      <c r="F1134" s="11"/>
      <c r="G1134" s="11"/>
      <c r="H1134" s="11"/>
      <c r="I1134" s="12">
        <v>0</v>
      </c>
      <c r="J1134" s="12">
        <v>1</v>
      </c>
      <c r="K1134" s="13" t="str">
        <f>HYPERLINK("http://twitter.com","Twitter Web Client")</f>
        <v>Twitter Web Client</v>
      </c>
      <c r="L1134" s="12">
        <v>1866</v>
      </c>
      <c r="M1134" s="12">
        <v>2713</v>
      </c>
      <c r="N1134" s="12">
        <v>103</v>
      </c>
      <c r="O1134" s="15"/>
      <c r="P1134" s="6">
        <v>40689.609293981484</v>
      </c>
      <c r="Q1134" s="11"/>
      <c r="R1134" s="19"/>
      <c r="S1134" s="11"/>
      <c r="T1134" s="11"/>
      <c r="U1134" s="10" t="str">
        <f>HYPERLINK("https://pbs.twimg.com/profile_images/3263026393/51f38354ddeb889cd9d3c1cae2000fd4.jpeg","View")</f>
        <v>View</v>
      </c>
    </row>
    <row r="1135" spans="1:21" ht="40.799999999999997">
      <c r="A1135" s="6">
        <v>43426.083321759259</v>
      </c>
      <c r="B1135" s="7" t="str">
        <f>HYPERLINK("https://twitter.com/emimarber","@emimarber")</f>
        <v>@emimarber</v>
      </c>
      <c r="C1135" s="8" t="s">
        <v>6076</v>
      </c>
      <c r="D1135" s="9" t="s">
        <v>6077</v>
      </c>
      <c r="E1135" s="10" t="str">
        <f>HYPERLINK("https://twitter.com/emimarber/status/1065545419499941888","1065545419499941888")</f>
        <v>1065545419499941888</v>
      </c>
      <c r="F1135" s="16" t="s">
        <v>6078</v>
      </c>
      <c r="G1135" s="11"/>
      <c r="H1135" s="11"/>
      <c r="I1135" s="12">
        <v>0</v>
      </c>
      <c r="J1135" s="12">
        <v>0</v>
      </c>
      <c r="K1135" s="13" t="str">
        <f>HYPERLINK("http://twitter.com/download/iphone","Twitter for iPhone")</f>
        <v>Twitter for iPhone</v>
      </c>
      <c r="L1135" s="12">
        <v>326</v>
      </c>
      <c r="M1135" s="12">
        <v>800</v>
      </c>
      <c r="N1135" s="12">
        <v>15</v>
      </c>
      <c r="O1135" s="15"/>
      <c r="P1135" s="6">
        <v>41127.278495370367</v>
      </c>
      <c r="Q1135" s="11"/>
      <c r="R1135" s="17" t="s">
        <v>6079</v>
      </c>
      <c r="S1135" s="11"/>
      <c r="T1135" s="11"/>
      <c r="U1135" s="10" t="str">
        <f>HYPERLINK("https://pbs.twimg.com/profile_images/553131024855867392/1IvluFwU.jpeg","View")</f>
        <v>View</v>
      </c>
    </row>
    <row r="1136" spans="1:21" ht="20.399999999999999">
      <c r="A1136" s="6">
        <v>43426.083090277782</v>
      </c>
      <c r="B1136" s="7" t="str">
        <f>HYPERLINK("https://twitter.com/blogKM0","@blogKM0")</f>
        <v>@blogKM0</v>
      </c>
      <c r="C1136" s="8" t="s">
        <v>6080</v>
      </c>
      <c r="D1136" s="9" t="s">
        <v>768</v>
      </c>
      <c r="E1136" s="10" t="str">
        <f>HYPERLINK("https://twitter.com/blogKM0/status/1065545334607228928","1065545334607228928")</f>
        <v>1065545334607228928</v>
      </c>
      <c r="F1136" s="14" t="s">
        <v>529</v>
      </c>
      <c r="G1136" s="11"/>
      <c r="H1136" s="11"/>
      <c r="I1136" s="12">
        <v>0</v>
      </c>
      <c r="J1136" s="12">
        <v>0</v>
      </c>
      <c r="K1136" s="13" t="str">
        <f>HYPERLINK("http://twitter.com","Twitter Web Client")</f>
        <v>Twitter Web Client</v>
      </c>
      <c r="L1136" s="12">
        <v>20724</v>
      </c>
      <c r="M1136" s="12">
        <v>16392</v>
      </c>
      <c r="N1136" s="12">
        <v>183</v>
      </c>
      <c r="O1136" s="15"/>
      <c r="P1136" s="6">
        <v>41093.203414351854</v>
      </c>
      <c r="Q1136" s="11"/>
      <c r="R1136" s="17" t="s">
        <v>6081</v>
      </c>
      <c r="S1136" s="14" t="s">
        <v>6082</v>
      </c>
      <c r="T1136" s="11"/>
      <c r="U1136" s="10" t="str">
        <f>HYPERLINK("https://pbs.twimg.com/profile_images/1017045604172812288/CQvEXaDY.jpg","View")</f>
        <v>View</v>
      </c>
    </row>
    <row r="1137" spans="1:21" ht="51">
      <c r="A1137" s="6">
        <v>43426.082812499997</v>
      </c>
      <c r="B1137" s="7" t="str">
        <f>HYPERLINK("https://twitter.com/PacoPa2018","@PacoPa2018")</f>
        <v>@PacoPa2018</v>
      </c>
      <c r="C1137" s="8" t="s">
        <v>2566</v>
      </c>
      <c r="D1137" s="9" t="s">
        <v>2567</v>
      </c>
      <c r="E1137" s="10" t="str">
        <f>HYPERLINK("https://twitter.com/PacoPa2018/status/1065545236498341889","1065545236498341889")</f>
        <v>1065545236498341889</v>
      </c>
      <c r="F1137" s="14" t="s">
        <v>96</v>
      </c>
      <c r="G1137" s="11"/>
      <c r="H1137" s="11"/>
      <c r="I1137" s="12">
        <v>0</v>
      </c>
      <c r="J1137" s="12">
        <v>0</v>
      </c>
      <c r="K1137" s="13" t="str">
        <f>HYPERLINK("http://twitter.com/download/iphone","Twitter for iPhone")</f>
        <v>Twitter for iPhone</v>
      </c>
      <c r="L1137" s="12">
        <v>15</v>
      </c>
      <c r="M1137" s="12">
        <v>32</v>
      </c>
      <c r="N1137" s="12">
        <v>0</v>
      </c>
      <c r="O1137" s="15"/>
      <c r="P1137" s="6">
        <v>43335.597557870366</v>
      </c>
      <c r="Q1137" s="16" t="s">
        <v>87</v>
      </c>
      <c r="R1137" s="17" t="s">
        <v>2568</v>
      </c>
      <c r="S1137" s="11"/>
      <c r="T1137" s="11"/>
      <c r="U1137" s="10" t="str">
        <f>HYPERLINK("https://pbs.twimg.com/profile_images/1032907719622250496/2qiP37rD.jpg","View")</f>
        <v>View</v>
      </c>
    </row>
    <row r="1138" spans="1:21" ht="51">
      <c r="A1138" s="6">
        <v>43426.082500000004</v>
      </c>
      <c r="B1138" s="7" t="str">
        <f>HYPERLINK("https://twitter.com/JMPerezAfonso","@JMPerezAfonso")</f>
        <v>@JMPerezAfonso</v>
      </c>
      <c r="C1138" s="8" t="s">
        <v>2569</v>
      </c>
      <c r="D1138" s="9" t="s">
        <v>2570</v>
      </c>
      <c r="E1138" s="10" t="str">
        <f>HYPERLINK("https://twitter.com/JMPerezAfonso/status/1065545122270638080","1065545122270638080")</f>
        <v>1065545122270638080</v>
      </c>
      <c r="F1138" s="14" t="s">
        <v>96</v>
      </c>
      <c r="G1138" s="11"/>
      <c r="H1138" s="11"/>
      <c r="I1138" s="12">
        <v>2</v>
      </c>
      <c r="J1138" s="12">
        <v>2</v>
      </c>
      <c r="K1138" s="13" t="str">
        <f t="shared" ref="K1138:K1140" si="232">HYPERLINK("http://twitter.com/download/android","Twitter for Android")</f>
        <v>Twitter for Android</v>
      </c>
      <c r="L1138" s="12">
        <v>876</v>
      </c>
      <c r="M1138" s="12">
        <v>850</v>
      </c>
      <c r="N1138" s="12">
        <v>16</v>
      </c>
      <c r="O1138" s="15"/>
      <c r="P1138" s="6">
        <v>41093.673298611109</v>
      </c>
      <c r="Q1138" s="16" t="s">
        <v>2573</v>
      </c>
      <c r="R1138" s="17" t="s">
        <v>2574</v>
      </c>
      <c r="S1138" s="11"/>
      <c r="T1138" s="11"/>
      <c r="U1138" s="10" t="str">
        <f>HYPERLINK("https://pbs.twimg.com/profile_images/1051968976413061121/Z2gtgxM1.jpg","View")</f>
        <v>View</v>
      </c>
    </row>
    <row r="1139" spans="1:21" ht="40.799999999999997">
      <c r="A1139" s="6">
        <v>43426.081793981481</v>
      </c>
      <c r="B1139" s="7" t="str">
        <f>HYPERLINK("https://twitter.com/VecinosStaSofia","@VecinosStaSofia")</f>
        <v>@VecinosStaSofia</v>
      </c>
      <c r="C1139" s="8" t="s">
        <v>2575</v>
      </c>
      <c r="D1139" s="9" t="s">
        <v>2576</v>
      </c>
      <c r="E1139" s="10" t="str">
        <f>HYPERLINK("https://twitter.com/VecinosStaSofia/status/1065544866636226561","1065544866636226561")</f>
        <v>1065544866636226561</v>
      </c>
      <c r="F1139" s="11"/>
      <c r="G1139" s="11"/>
      <c r="H1139" s="11"/>
      <c r="I1139" s="12">
        <v>0</v>
      </c>
      <c r="J1139" s="12">
        <v>0</v>
      </c>
      <c r="K1139" s="13" t="str">
        <f t="shared" si="232"/>
        <v>Twitter for Android</v>
      </c>
      <c r="L1139" s="12">
        <v>2368</v>
      </c>
      <c r="M1139" s="12">
        <v>1515</v>
      </c>
      <c r="N1139" s="12">
        <v>24</v>
      </c>
      <c r="O1139" s="15"/>
      <c r="P1139" s="6">
        <v>40979.63789351852</v>
      </c>
      <c r="Q1139" s="16" t="s">
        <v>2577</v>
      </c>
      <c r="R1139" s="17" t="s">
        <v>2578</v>
      </c>
      <c r="S1139" s="11"/>
      <c r="T1139" s="11"/>
      <c r="U1139" s="10" t="str">
        <f>HYPERLINK("https://pbs.twimg.com/profile_images/999948591983624192/LldYhRXc.jpg","View")</f>
        <v>View</v>
      </c>
    </row>
    <row r="1140" spans="1:21" ht="20.399999999999999">
      <c r="A1140" s="6">
        <v>43426.081759259258</v>
      </c>
      <c r="B1140" s="7" t="str">
        <f>HYPERLINK("https://twitter.com/nena64738317","@nena64738317")</f>
        <v>@nena64738317</v>
      </c>
      <c r="C1140" s="8" t="s">
        <v>6083</v>
      </c>
      <c r="D1140" s="9" t="s">
        <v>6084</v>
      </c>
      <c r="E1140" s="10" t="str">
        <f>HYPERLINK("https://twitter.com/nena64738317/status/1065544854904733696","1065544854904733696")</f>
        <v>1065544854904733696</v>
      </c>
      <c r="F1140" s="14" t="s">
        <v>6085</v>
      </c>
      <c r="G1140" s="11"/>
      <c r="H1140" s="11"/>
      <c r="I1140" s="12">
        <v>0</v>
      </c>
      <c r="J1140" s="12">
        <v>0</v>
      </c>
      <c r="K1140" s="13" t="str">
        <f t="shared" si="232"/>
        <v>Twitter for Android</v>
      </c>
      <c r="L1140" s="12">
        <v>491</v>
      </c>
      <c r="M1140" s="12">
        <v>770</v>
      </c>
      <c r="N1140" s="12">
        <v>16</v>
      </c>
      <c r="O1140" s="15"/>
      <c r="P1140" s="6">
        <v>42657.993171296301</v>
      </c>
      <c r="Q1140" s="11"/>
      <c r="R1140" s="19"/>
      <c r="S1140" s="11"/>
      <c r="T1140" s="11"/>
      <c r="U1140" s="10" t="str">
        <f>HYPERLINK("https://pbs.twimg.com/profile_images/972383595141763074/Ynm1Rmca.jpg","View")</f>
        <v>View</v>
      </c>
    </row>
    <row r="1141" spans="1:21" ht="20.399999999999999">
      <c r="A1141" s="6">
        <v>43426.081400462965</v>
      </c>
      <c r="B1141" s="7" t="str">
        <f>HYPERLINK("https://twitter.com/Alexium15","@Alexium15")</f>
        <v>@Alexium15</v>
      </c>
      <c r="C1141" s="8" t="s">
        <v>6086</v>
      </c>
      <c r="D1141" s="9" t="s">
        <v>768</v>
      </c>
      <c r="E1141" s="10" t="str">
        <f>HYPERLINK("https://twitter.com/Alexium15/status/1065544721911750656","1065544721911750656")</f>
        <v>1065544721911750656</v>
      </c>
      <c r="F1141" s="14" t="s">
        <v>529</v>
      </c>
      <c r="G1141" s="11"/>
      <c r="H1141" s="11"/>
      <c r="I1141" s="12">
        <v>0</v>
      </c>
      <c r="J1141" s="12">
        <v>0</v>
      </c>
      <c r="K1141" s="13" t="str">
        <f>HYPERLINK("http://twitter.com","Twitter Web Client")</f>
        <v>Twitter Web Client</v>
      </c>
      <c r="L1141" s="12">
        <v>57</v>
      </c>
      <c r="M1141" s="12">
        <v>143</v>
      </c>
      <c r="N1141" s="12">
        <v>3</v>
      </c>
      <c r="O1141" s="15"/>
      <c r="P1141" s="6">
        <v>40218.375856481478</v>
      </c>
      <c r="Q1141" s="16" t="s">
        <v>6087</v>
      </c>
      <c r="R1141" s="17" t="s">
        <v>6088</v>
      </c>
      <c r="S1141" s="11"/>
      <c r="T1141" s="11"/>
      <c r="U1141" s="10" t="str">
        <f>HYPERLINK("https://pbs.twimg.com/profile_images/1016617707540766720/OHt_AplL.jpg","View")</f>
        <v>View</v>
      </c>
    </row>
    <row r="1142" spans="1:21" ht="20.399999999999999">
      <c r="A1142" s="6">
        <v>43426.081203703703</v>
      </c>
      <c r="B1142" s="7" t="str">
        <f>HYPERLINK("https://twitter.com/qbonaventura","@qbonaventura")</f>
        <v>@qbonaventura</v>
      </c>
      <c r="C1142" s="8" t="s">
        <v>6089</v>
      </c>
      <c r="D1142" s="9" t="s">
        <v>2895</v>
      </c>
      <c r="E1142" s="10" t="str">
        <f>HYPERLINK("https://twitter.com/qbonaventura/status/1065544651145392128","1065544651145392128")</f>
        <v>1065544651145392128</v>
      </c>
      <c r="F1142" s="14" t="s">
        <v>529</v>
      </c>
      <c r="G1142" s="11"/>
      <c r="H1142" s="11"/>
      <c r="I1142" s="12">
        <v>0</v>
      </c>
      <c r="J1142" s="12">
        <v>0</v>
      </c>
      <c r="K1142" s="13" t="str">
        <f>HYPERLINK("http://twitter.com/download/iphone","Twitter for iPhone")</f>
        <v>Twitter for iPhone</v>
      </c>
      <c r="L1142" s="12">
        <v>2915</v>
      </c>
      <c r="M1142" s="12">
        <v>2500</v>
      </c>
      <c r="N1142" s="12">
        <v>39</v>
      </c>
      <c r="O1142" s="15"/>
      <c r="P1142" s="6">
        <v>40683.705393518518</v>
      </c>
      <c r="Q1142" s="16" t="s">
        <v>6090</v>
      </c>
      <c r="R1142" s="17" t="s">
        <v>6091</v>
      </c>
      <c r="S1142" s="14" t="s">
        <v>6092</v>
      </c>
      <c r="T1142" s="11"/>
      <c r="U1142" s="10" t="str">
        <f>HYPERLINK("https://pbs.twimg.com/profile_images/584325032656117762/h1uwAI_h.jpg","View")</f>
        <v>View</v>
      </c>
    </row>
    <row r="1143" spans="1:21" ht="20.399999999999999">
      <c r="A1143" s="6">
        <v>43426.080462962964</v>
      </c>
      <c r="B1143" s="7" t="str">
        <f>HYPERLINK("https://twitter.com/godima27","@godima27")</f>
        <v>@godima27</v>
      </c>
      <c r="C1143" s="8" t="s">
        <v>3609</v>
      </c>
      <c r="D1143" s="9" t="s">
        <v>6093</v>
      </c>
      <c r="E1143" s="10" t="str">
        <f>HYPERLINK("https://twitter.com/godima27/status/1065544383829893120","1065544383829893120")</f>
        <v>1065544383829893120</v>
      </c>
      <c r="F1143" s="14" t="s">
        <v>6094</v>
      </c>
      <c r="G1143" s="11"/>
      <c r="H1143" s="11"/>
      <c r="I1143" s="12">
        <v>0</v>
      </c>
      <c r="J1143" s="12">
        <v>0</v>
      </c>
      <c r="K1143" s="13" t="str">
        <f t="shared" ref="K1143:K1144" si="233">HYPERLINK("http://twitter.com/download/android","Twitter for Android")</f>
        <v>Twitter for Android</v>
      </c>
      <c r="L1143" s="12">
        <v>195</v>
      </c>
      <c r="M1143" s="12">
        <v>485</v>
      </c>
      <c r="N1143" s="12">
        <v>3</v>
      </c>
      <c r="O1143" s="15"/>
      <c r="P1143" s="6">
        <v>42102.184050925927</v>
      </c>
      <c r="Q1143" s="16" t="s">
        <v>6095</v>
      </c>
      <c r="R1143" s="19"/>
      <c r="S1143" s="14" t="s">
        <v>6096</v>
      </c>
      <c r="T1143" s="11"/>
      <c r="U1143" s="10" t="str">
        <f>HYPERLINK("https://pbs.twimg.com/profile_images/1019870891965145088/9MrJ3Jp1.jpg","View")</f>
        <v>View</v>
      </c>
    </row>
    <row r="1144" spans="1:21" ht="40.799999999999997">
      <c r="A1144" s="6">
        <v>43426.07984953704</v>
      </c>
      <c r="B1144" s="7" t="str">
        <f>HYPERLINK("https://twitter.com/Clara_Chirino","@Clara_Chirino")</f>
        <v>@Clara_Chirino</v>
      </c>
      <c r="C1144" s="8" t="s">
        <v>6097</v>
      </c>
      <c r="D1144" s="9" t="s">
        <v>6098</v>
      </c>
      <c r="E1144" s="10" t="str">
        <f>HYPERLINK("https://twitter.com/Clara_Chirino/status/1065544159887572993","1065544159887572993")</f>
        <v>1065544159887572993</v>
      </c>
      <c r="F1144" s="14" t="s">
        <v>79</v>
      </c>
      <c r="G1144" s="11"/>
      <c r="H1144" s="11"/>
      <c r="I1144" s="12">
        <v>1</v>
      </c>
      <c r="J1144" s="12">
        <v>1</v>
      </c>
      <c r="K1144" s="13" t="str">
        <f t="shared" si="233"/>
        <v>Twitter for Android</v>
      </c>
      <c r="L1144" s="12">
        <v>219</v>
      </c>
      <c r="M1144" s="12">
        <v>552</v>
      </c>
      <c r="N1144" s="12">
        <v>4</v>
      </c>
      <c r="O1144" s="15"/>
      <c r="P1144" s="6">
        <v>41246.274212962962</v>
      </c>
      <c r="Q1144" s="11"/>
      <c r="R1144" s="19"/>
      <c r="S1144" s="11"/>
      <c r="T1144" s="11"/>
      <c r="U1144" s="10" t="str">
        <f>HYPERLINK("https://pbs.twimg.com/profile_images/1031966954389753859/jD6ZYiZ7.jpg","View")</f>
        <v>View</v>
      </c>
    </row>
    <row r="1145" spans="1:21" ht="40.799999999999997">
      <c r="A1145" s="6">
        <v>43426.079687500001</v>
      </c>
      <c r="B1145" s="7" t="str">
        <f>HYPERLINK("https://twitter.com/gepigom2883","@gepigom2883")</f>
        <v>@gepigom2883</v>
      </c>
      <c r="C1145" s="8" t="s">
        <v>2581</v>
      </c>
      <c r="D1145" s="9" t="s">
        <v>2582</v>
      </c>
      <c r="E1145" s="10" t="str">
        <f>HYPERLINK("https://twitter.com/gepigom2883/status/1065544100236136448","1065544100236136448")</f>
        <v>1065544100236136448</v>
      </c>
      <c r="F1145" s="14" t="s">
        <v>2585</v>
      </c>
      <c r="G1145" s="11"/>
      <c r="H1145" s="11"/>
      <c r="I1145" s="12">
        <v>0</v>
      </c>
      <c r="J1145" s="12">
        <v>0</v>
      </c>
      <c r="K1145" s="13" t="str">
        <f>HYPERLINK("http://twitter.com","Twitter Web Client")</f>
        <v>Twitter Web Client</v>
      </c>
      <c r="L1145" s="12">
        <v>115</v>
      </c>
      <c r="M1145" s="12">
        <v>259</v>
      </c>
      <c r="N1145" s="12">
        <v>1</v>
      </c>
      <c r="O1145" s="15"/>
      <c r="P1145" s="6">
        <v>40539.278645833336</v>
      </c>
      <c r="Q1145" s="16" t="s">
        <v>2586</v>
      </c>
      <c r="R1145" s="17" t="s">
        <v>2587</v>
      </c>
      <c r="S1145" s="11"/>
      <c r="T1145" s="11"/>
      <c r="U1145" s="10" t="str">
        <f>HYPERLINK("https://pbs.twimg.com/profile_images/949741579580960770/ra6kQmmK.jpg","View")</f>
        <v>View</v>
      </c>
    </row>
    <row r="1146" spans="1:21" ht="40.799999999999997">
      <c r="A1146" s="6">
        <v>43426.078541666662</v>
      </c>
      <c r="B1146" s="7" t="str">
        <f>HYPERLINK("https://twitter.com/donsamueh93","@donsamueh93")</f>
        <v>@donsamueh93</v>
      </c>
      <c r="C1146" s="8" t="s">
        <v>2588</v>
      </c>
      <c r="D1146" s="9" t="s">
        <v>2589</v>
      </c>
      <c r="E1146" s="10" t="str">
        <f>HYPERLINK("https://twitter.com/donsamueh93/status/1065543687432736768","1065543687432736768")</f>
        <v>1065543687432736768</v>
      </c>
      <c r="F1146" s="11"/>
      <c r="G1146" s="14" t="s">
        <v>2592</v>
      </c>
      <c r="H1146" s="11"/>
      <c r="I1146" s="12">
        <v>9</v>
      </c>
      <c r="J1146" s="12">
        <v>9</v>
      </c>
      <c r="K1146" s="13" t="str">
        <f t="shared" ref="K1146:K1148" si="234">HYPERLINK("http://twitter.com/download/android","Twitter for Android")</f>
        <v>Twitter for Android</v>
      </c>
      <c r="L1146" s="12">
        <v>1448</v>
      </c>
      <c r="M1146" s="12">
        <v>2363</v>
      </c>
      <c r="N1146" s="12">
        <v>19</v>
      </c>
      <c r="O1146" s="15"/>
      <c r="P1146" s="6">
        <v>40804.577361111107</v>
      </c>
      <c r="Q1146" s="16" t="s">
        <v>2593</v>
      </c>
      <c r="R1146" s="17" t="s">
        <v>2594</v>
      </c>
      <c r="S1146" s="11"/>
      <c r="T1146" s="11"/>
      <c r="U1146" s="10" t="str">
        <f>HYPERLINK("https://pbs.twimg.com/profile_images/468174987271372800/g-_QS_Ht.jpeg","View")</f>
        <v>View</v>
      </c>
    </row>
    <row r="1147" spans="1:21" ht="51">
      <c r="A1147" s="6">
        <v>43426.07849537037</v>
      </c>
      <c r="B1147" s="7" t="str">
        <f>HYPERLINK("https://twitter.com/DavZero07","@DavZero07")</f>
        <v>@DavZero07</v>
      </c>
      <c r="C1147" s="8" t="s">
        <v>6099</v>
      </c>
      <c r="D1147" s="9" t="s">
        <v>6100</v>
      </c>
      <c r="E1147" s="10" t="str">
        <f>HYPERLINK("https://twitter.com/DavZero07/status/1065543670840082432","1065543670840082432")</f>
        <v>1065543670840082432</v>
      </c>
      <c r="F1147" s="14" t="s">
        <v>6101</v>
      </c>
      <c r="G1147" s="11"/>
      <c r="H1147" s="11"/>
      <c r="I1147" s="12">
        <v>0</v>
      </c>
      <c r="J1147" s="12">
        <v>0</v>
      </c>
      <c r="K1147" s="13" t="str">
        <f t="shared" si="234"/>
        <v>Twitter for Android</v>
      </c>
      <c r="L1147" s="12">
        <v>67</v>
      </c>
      <c r="M1147" s="12">
        <v>108</v>
      </c>
      <c r="N1147" s="12">
        <v>1</v>
      </c>
      <c r="O1147" s="15"/>
      <c r="P1147" s="6">
        <v>42799.281435185185</v>
      </c>
      <c r="Q1147" s="16" t="s">
        <v>123</v>
      </c>
      <c r="R1147" s="17" t="s">
        <v>6102</v>
      </c>
      <c r="S1147" s="11"/>
      <c r="T1147" s="11"/>
      <c r="U1147" s="10" t="str">
        <f>HYPERLINK("https://pbs.twimg.com/profile_images/1065407152028827648/250FZSif.jpg","View")</f>
        <v>View</v>
      </c>
    </row>
    <row r="1148" spans="1:21" ht="30.6">
      <c r="A1148" s="6">
        <v>43426.078449074077</v>
      </c>
      <c r="B1148" s="7" t="str">
        <f>HYPERLINK("https://twitter.com/JoseBarbero11","@JoseBarbero11")</f>
        <v>@JoseBarbero11</v>
      </c>
      <c r="C1148" s="8" t="s">
        <v>2596</v>
      </c>
      <c r="D1148" s="9" t="s">
        <v>2598</v>
      </c>
      <c r="E1148" s="10" t="str">
        <f>HYPERLINK("https://twitter.com/JoseBarbero11/status/1065543654268383232","1065543654268383232")</f>
        <v>1065543654268383232</v>
      </c>
      <c r="F1148" s="14" t="s">
        <v>96</v>
      </c>
      <c r="G1148" s="11"/>
      <c r="H1148" s="11"/>
      <c r="I1148" s="12">
        <v>0</v>
      </c>
      <c r="J1148" s="12">
        <v>0</v>
      </c>
      <c r="K1148" s="13" t="str">
        <f t="shared" si="234"/>
        <v>Twitter for Android</v>
      </c>
      <c r="L1148" s="12">
        <v>525</v>
      </c>
      <c r="M1148" s="12">
        <v>1300</v>
      </c>
      <c r="N1148" s="12">
        <v>8</v>
      </c>
      <c r="O1148" s="15"/>
      <c r="P1148" s="6">
        <v>40812.299050925925</v>
      </c>
      <c r="Q1148" s="11"/>
      <c r="R1148" s="17" t="s">
        <v>2599</v>
      </c>
      <c r="S1148" s="14" t="s">
        <v>2600</v>
      </c>
      <c r="T1148" s="11"/>
      <c r="U1148" s="10" t="str">
        <f>HYPERLINK("https://pbs.twimg.com/profile_images/897903367552479232/xlpVylGw.jpg","View")</f>
        <v>View</v>
      </c>
    </row>
    <row r="1149" spans="1:21" ht="30.6">
      <c r="A1149" s="6">
        <v>43426.0783912037</v>
      </c>
      <c r="B1149" s="7" t="str">
        <f>HYPERLINK("https://twitter.com/HoyPorHoy","@HoyPorHoy")</f>
        <v>@HoyPorHoy</v>
      </c>
      <c r="C1149" s="8" t="s">
        <v>919</v>
      </c>
      <c r="D1149" s="9" t="s">
        <v>6103</v>
      </c>
      <c r="E1149" s="10" t="str">
        <f>HYPERLINK("https://twitter.com/HoyPorHoy/status/1065543632273530881","1065543632273530881")</f>
        <v>1065543632273530881</v>
      </c>
      <c r="F1149" s="11"/>
      <c r="G1149" s="11"/>
      <c r="H1149" s="11"/>
      <c r="I1149" s="12">
        <v>3</v>
      </c>
      <c r="J1149" s="12">
        <v>10</v>
      </c>
      <c r="K1149" s="13" t="str">
        <f>HYPERLINK("http://twitter.com","Twitter Web Client")</f>
        <v>Twitter Web Client</v>
      </c>
      <c r="L1149" s="12">
        <v>151238</v>
      </c>
      <c r="M1149" s="12">
        <v>547</v>
      </c>
      <c r="N1149" s="12">
        <v>1950</v>
      </c>
      <c r="O1149" s="18" t="s">
        <v>52</v>
      </c>
      <c r="P1149" s="6">
        <v>40524.4375</v>
      </c>
      <c r="Q1149" s="16" t="s">
        <v>924</v>
      </c>
      <c r="R1149" s="17" t="s">
        <v>925</v>
      </c>
      <c r="S1149" s="14" t="s">
        <v>926</v>
      </c>
      <c r="T1149" s="11"/>
      <c r="U1149" s="10" t="str">
        <f>HYPERLINK("https://pbs.twimg.com/profile_images/1048055720007163905/tEd_7iXy.jpg","View")</f>
        <v>View</v>
      </c>
    </row>
    <row r="1150" spans="1:21" ht="40.799999999999997">
      <c r="A1150" s="6">
        <v>43426.077743055561</v>
      </c>
      <c r="B1150" s="7" t="str">
        <f>HYPERLINK("https://twitter.com/oriolsabata","@oriolsabata")</f>
        <v>@oriolsabata</v>
      </c>
      <c r="C1150" s="8" t="s">
        <v>6104</v>
      </c>
      <c r="D1150" s="9" t="s">
        <v>6105</v>
      </c>
      <c r="E1150" s="10" t="str">
        <f>HYPERLINK("https://twitter.com/oriolsabata/status/1065543397849669632","1065543397849669632")</f>
        <v>1065543397849669632</v>
      </c>
      <c r="F1150" s="14" t="s">
        <v>96</v>
      </c>
      <c r="G1150" s="11"/>
      <c r="H1150" s="11"/>
      <c r="I1150" s="12">
        <v>18</v>
      </c>
      <c r="J1150" s="12">
        <v>24</v>
      </c>
      <c r="K1150" s="13" t="str">
        <f t="shared" ref="K1150:K1151" si="235">HYPERLINK("http://twitter.com/download/android","Twitter for Android")</f>
        <v>Twitter for Android</v>
      </c>
      <c r="L1150" s="12">
        <v>4664</v>
      </c>
      <c r="M1150" s="12">
        <v>5103</v>
      </c>
      <c r="N1150" s="12">
        <v>45</v>
      </c>
      <c r="O1150" s="15"/>
      <c r="P1150" s="6">
        <v>40619.761817129627</v>
      </c>
      <c r="Q1150" s="11"/>
      <c r="R1150" s="17" t="s">
        <v>6106</v>
      </c>
      <c r="S1150" s="11"/>
      <c r="T1150" s="11"/>
      <c r="U1150" s="10" t="str">
        <f>HYPERLINK("https://pbs.twimg.com/profile_images/964055684785590272/580IWn9x.jpg","View")</f>
        <v>View</v>
      </c>
    </row>
    <row r="1151" spans="1:21" ht="40.799999999999997">
      <c r="A1151" s="6">
        <v>43426.077314814815</v>
      </c>
      <c r="B1151" s="7" t="str">
        <f>HYPERLINK("https://twitter.com/galathea2041","@galathea2041")</f>
        <v>@galathea2041</v>
      </c>
      <c r="C1151" s="8" t="s">
        <v>6107</v>
      </c>
      <c r="D1151" s="9" t="s">
        <v>6108</v>
      </c>
      <c r="E1151" s="10" t="str">
        <f>HYPERLINK("https://twitter.com/galathea2041/status/1065543242157121536","1065543242157121536")</f>
        <v>1065543242157121536</v>
      </c>
      <c r="F1151" s="11"/>
      <c r="G1151" s="11"/>
      <c r="H1151" s="11"/>
      <c r="I1151" s="12">
        <v>0</v>
      </c>
      <c r="J1151" s="12">
        <v>0</v>
      </c>
      <c r="K1151" s="13" t="str">
        <f t="shared" si="235"/>
        <v>Twitter for Android</v>
      </c>
      <c r="L1151" s="12">
        <v>28</v>
      </c>
      <c r="M1151" s="12">
        <v>245</v>
      </c>
      <c r="N1151" s="12">
        <v>0</v>
      </c>
      <c r="O1151" s="15"/>
      <c r="P1151" s="6">
        <v>42435.323009259257</v>
      </c>
      <c r="Q1151" s="16" t="s">
        <v>6109</v>
      </c>
      <c r="R1151" s="17" t="s">
        <v>6110</v>
      </c>
      <c r="S1151" s="11"/>
      <c r="T1151" s="11"/>
      <c r="U1151" s="10" t="str">
        <f>HYPERLINK("https://pbs.twimg.com/profile_images/1044639971666251782/riU7yrqY.jpg","View")</f>
        <v>View</v>
      </c>
    </row>
    <row r="1152" spans="1:21" ht="61.2">
      <c r="A1152" s="6">
        <v>43426.076643518521</v>
      </c>
      <c r="B1152" s="7" t="str">
        <f>HYPERLINK("https://twitter.com/Cristin40156537","@Cristin40156537")</f>
        <v>@Cristin40156537</v>
      </c>
      <c r="C1152" s="8" t="s">
        <v>6111</v>
      </c>
      <c r="D1152" s="9" t="s">
        <v>6112</v>
      </c>
      <c r="E1152" s="10" t="str">
        <f>HYPERLINK("https://twitter.com/Cristin40156537/status/1065542999545978880","1065542999545978880")</f>
        <v>1065542999545978880</v>
      </c>
      <c r="F1152" s="16" t="s">
        <v>2603</v>
      </c>
      <c r="G1152" s="11"/>
      <c r="H1152" s="11"/>
      <c r="I1152" s="12">
        <v>2</v>
      </c>
      <c r="J1152" s="12">
        <v>3</v>
      </c>
      <c r="K1152" s="13" t="str">
        <f>HYPERLINK("https://mobile.twitter.com","Twitter Lite")</f>
        <v>Twitter Lite</v>
      </c>
      <c r="L1152" s="12">
        <v>688</v>
      </c>
      <c r="M1152" s="12">
        <v>799</v>
      </c>
      <c r="N1152" s="12">
        <v>1</v>
      </c>
      <c r="O1152" s="15"/>
      <c r="P1152" s="6">
        <v>43307.533877314811</v>
      </c>
      <c r="Q1152" s="11"/>
      <c r="R1152" s="17" t="s">
        <v>6113</v>
      </c>
      <c r="S1152" s="11"/>
      <c r="T1152" s="11"/>
      <c r="U1152" s="10" t="str">
        <f>HYPERLINK("https://pbs.twimg.com/profile_images/1063868567903440897/QgSwEmi0.jpg","View")</f>
        <v>View</v>
      </c>
    </row>
    <row r="1153" spans="1:21" ht="30.6">
      <c r="A1153" s="6">
        <v>43426.075868055559</v>
      </c>
      <c r="B1153" s="7" t="str">
        <f>HYPERLINK("https://twitter.com/CristinaParapar","@CristinaParapar")</f>
        <v>@CristinaParapar</v>
      </c>
      <c r="C1153" s="8" t="s">
        <v>6114</v>
      </c>
      <c r="D1153" s="9" t="s">
        <v>6115</v>
      </c>
      <c r="E1153" s="10" t="str">
        <f>HYPERLINK("https://twitter.com/CristinaParapar/status/1065542719345475584","1065542719345475584")</f>
        <v>1065542719345475584</v>
      </c>
      <c r="F1153" s="14" t="s">
        <v>529</v>
      </c>
      <c r="G1153" s="11"/>
      <c r="H1153" s="11"/>
      <c r="I1153" s="12">
        <v>0</v>
      </c>
      <c r="J1153" s="12">
        <v>0</v>
      </c>
      <c r="K1153" s="13" t="str">
        <f>HYPERLINK("http://twitter.com","Twitter Web Client")</f>
        <v>Twitter Web Client</v>
      </c>
      <c r="L1153" s="12">
        <v>599</v>
      </c>
      <c r="M1153" s="12">
        <v>820</v>
      </c>
      <c r="N1153" s="12">
        <v>27</v>
      </c>
      <c r="O1153" s="15"/>
      <c r="P1153" s="6">
        <v>40645.077291666668</v>
      </c>
      <c r="Q1153" s="16" t="s">
        <v>6116</v>
      </c>
      <c r="R1153" s="17" t="s">
        <v>6117</v>
      </c>
      <c r="S1153" s="14" t="s">
        <v>6118</v>
      </c>
      <c r="T1153" s="11"/>
      <c r="U1153" s="10" t="str">
        <f>HYPERLINK("https://pbs.twimg.com/profile_images/553218845075189760/CXJzSHuv.jpeg","View")</f>
        <v>View</v>
      </c>
    </row>
    <row r="1154" spans="1:21" ht="40.799999999999997">
      <c r="A1154" s="6">
        <v>43426.075636574074</v>
      </c>
      <c r="B1154" s="7" t="str">
        <f>HYPERLINK("https://twitter.com/atticusproyect","@atticusproyect")</f>
        <v>@atticusproyect</v>
      </c>
      <c r="C1154" s="8" t="s">
        <v>2601</v>
      </c>
      <c r="D1154" s="9" t="s">
        <v>2602</v>
      </c>
      <c r="E1154" s="10" t="str">
        <f>HYPERLINK("https://twitter.com/atticusproyect/status/1065542636218589184","1065542636218589184")</f>
        <v>1065542636218589184</v>
      </c>
      <c r="F1154" s="16" t="s">
        <v>2603</v>
      </c>
      <c r="G1154" s="11"/>
      <c r="H1154" s="11"/>
      <c r="I1154" s="12">
        <v>0</v>
      </c>
      <c r="J1154" s="12">
        <v>1</v>
      </c>
      <c r="K1154" s="13" t="str">
        <f t="shared" ref="K1154:K1155" si="236">HYPERLINK("http://twitter.com/download/android","Twitter for Android")</f>
        <v>Twitter for Android</v>
      </c>
      <c r="L1154" s="12">
        <v>191</v>
      </c>
      <c r="M1154" s="12">
        <v>264</v>
      </c>
      <c r="N1154" s="12">
        <v>3</v>
      </c>
      <c r="O1154" s="15"/>
      <c r="P1154" s="6">
        <v>42697.454398148147</v>
      </c>
      <c r="Q1154" s="11"/>
      <c r="R1154" s="17" t="s">
        <v>2604</v>
      </c>
      <c r="S1154" s="11"/>
      <c r="T1154" s="11"/>
      <c r="U1154" s="10" t="str">
        <f>HYPERLINK("https://pbs.twimg.com/profile_images/851118787927699456/LoqcCyqP.jpg","View")</f>
        <v>View</v>
      </c>
    </row>
    <row r="1155" spans="1:21" ht="51">
      <c r="A1155" s="6">
        <v>43426.075474537036</v>
      </c>
      <c r="B1155" s="7" t="str">
        <f>HYPERLINK("https://twitter.com/smith_guarda","@smith_guarda")</f>
        <v>@smith_guarda</v>
      </c>
      <c r="C1155" s="8" t="s">
        <v>2605</v>
      </c>
      <c r="D1155" s="9" t="s">
        <v>2606</v>
      </c>
      <c r="E1155" s="10" t="str">
        <f>HYPERLINK("https://twitter.com/smith_guarda/status/1065542575858290688","1065542575858290688")</f>
        <v>1065542575858290688</v>
      </c>
      <c r="F1155" s="14" t="s">
        <v>2607</v>
      </c>
      <c r="G1155" s="11"/>
      <c r="H1155" s="11"/>
      <c r="I1155" s="12">
        <v>5</v>
      </c>
      <c r="J1155" s="12">
        <v>9</v>
      </c>
      <c r="K1155" s="13" t="str">
        <f t="shared" si="236"/>
        <v>Twitter for Android</v>
      </c>
      <c r="L1155" s="12">
        <v>37</v>
      </c>
      <c r="M1155" s="12">
        <v>1</v>
      </c>
      <c r="N1155" s="12">
        <v>0</v>
      </c>
      <c r="O1155" s="15"/>
      <c r="P1155" s="6">
        <v>43285.243738425925</v>
      </c>
      <c r="Q1155" s="11"/>
      <c r="R1155" s="19"/>
      <c r="S1155" s="11"/>
      <c r="T1155" s="11"/>
      <c r="U1155" s="10" t="str">
        <f>HYPERLINK("https://pbs.twimg.com/profile_images/1014493259572436992/sqQ_V__c.jpg","View")</f>
        <v>View</v>
      </c>
    </row>
    <row r="1156" spans="1:21" ht="40.799999999999997">
      <c r="A1156" s="6">
        <v>43426.075254629628</v>
      </c>
      <c r="B1156" s="7" t="str">
        <f>HYPERLINK("https://twitter.com/Cayenne_66","@Cayenne_66")</f>
        <v>@Cayenne_66</v>
      </c>
      <c r="C1156" s="8" t="s">
        <v>2608</v>
      </c>
      <c r="D1156" s="9" t="s">
        <v>2609</v>
      </c>
      <c r="E1156" s="10" t="str">
        <f>HYPERLINK("https://twitter.com/Cayenne_66/status/1065542496971837440","1065542496971837440")</f>
        <v>1065542496971837440</v>
      </c>
      <c r="F1156" s="11"/>
      <c r="G1156" s="11"/>
      <c r="H1156" s="11"/>
      <c r="I1156" s="12">
        <v>0</v>
      </c>
      <c r="J1156" s="12">
        <v>0</v>
      </c>
      <c r="K1156" s="13" t="str">
        <f>HYPERLINK("http://twitter.com","Twitter Web Client")</f>
        <v>Twitter Web Client</v>
      </c>
      <c r="L1156" s="12">
        <v>21</v>
      </c>
      <c r="M1156" s="12">
        <v>52</v>
      </c>
      <c r="N1156" s="12">
        <v>0</v>
      </c>
      <c r="O1156" s="15"/>
      <c r="P1156" s="6">
        <v>41704.131979166668</v>
      </c>
      <c r="Q1156" s="16" t="s">
        <v>2610</v>
      </c>
      <c r="R1156" s="17" t="s">
        <v>2611</v>
      </c>
      <c r="S1156" s="11"/>
      <c r="T1156" s="11"/>
      <c r="U1156" s="10" t="str">
        <f>HYPERLINK("https://pbs.twimg.com/profile_images/901498664266465281/WfrujVC3.jpg","View")</f>
        <v>View</v>
      </c>
    </row>
    <row r="1157" spans="1:21" ht="40.799999999999997">
      <c r="A1157" s="6">
        <v>43426.075185185182</v>
      </c>
      <c r="B1157" s="7" t="str">
        <f>HYPERLINK("https://twitter.com/misamont","@misamont")</f>
        <v>@misamont</v>
      </c>
      <c r="C1157" s="8" t="s">
        <v>6120</v>
      </c>
      <c r="D1157" s="9" t="s">
        <v>6121</v>
      </c>
      <c r="E1157" s="10" t="str">
        <f>HYPERLINK("https://twitter.com/misamont/status/1065542470556094465","1065542470556094465")</f>
        <v>1065542470556094465</v>
      </c>
      <c r="F1157" s="14" t="s">
        <v>6123</v>
      </c>
      <c r="G1157" s="11"/>
      <c r="H1157" s="11"/>
      <c r="I1157" s="12">
        <v>0</v>
      </c>
      <c r="J1157" s="12">
        <v>0</v>
      </c>
      <c r="K1157" s="13" t="str">
        <f>HYPERLINK("http://www.facebook.com/twitter","Facebook")</f>
        <v>Facebook</v>
      </c>
      <c r="L1157" s="12">
        <v>575</v>
      </c>
      <c r="M1157" s="12">
        <v>1816</v>
      </c>
      <c r="N1157" s="12">
        <v>13</v>
      </c>
      <c r="O1157" s="15"/>
      <c r="P1157" s="6">
        <v>40845.305798611109</v>
      </c>
      <c r="Q1157" s="16" t="s">
        <v>6124</v>
      </c>
      <c r="R1157" s="17" t="s">
        <v>6125</v>
      </c>
      <c r="S1157" s="14" t="s">
        <v>6126</v>
      </c>
      <c r="T1157" s="11"/>
      <c r="U1157" s="10" t="str">
        <f>HYPERLINK("https://pbs.twimg.com/profile_images/421736407548170240/XviXjlNe.jpeg","View")</f>
        <v>View</v>
      </c>
    </row>
    <row r="1158" spans="1:21" ht="20.399999999999999">
      <c r="A1158" s="6">
        <v>43426.07512731482</v>
      </c>
      <c r="B1158" s="7" t="str">
        <f>HYPERLINK("https://twitter.com/Narradoor","@Narradoor")</f>
        <v>@Narradoor</v>
      </c>
      <c r="C1158" s="8" t="s">
        <v>6128</v>
      </c>
      <c r="D1158" s="9" t="s">
        <v>6129</v>
      </c>
      <c r="E1158" s="10" t="str">
        <f>HYPERLINK("https://twitter.com/Narradoor/status/1065542450268258304","1065542450268258304")</f>
        <v>1065542450268258304</v>
      </c>
      <c r="F1158" s="11"/>
      <c r="G1158" s="14" t="s">
        <v>6130</v>
      </c>
      <c r="H1158" s="11"/>
      <c r="I1158" s="12">
        <v>0</v>
      </c>
      <c r="J1158" s="12">
        <v>0</v>
      </c>
      <c r="K1158" s="13" t="str">
        <f t="shared" ref="K1158:K1159" si="237">HYPERLINK("http://twitter.com/download/android","Twitter for Android")</f>
        <v>Twitter for Android</v>
      </c>
      <c r="L1158" s="12">
        <v>1444</v>
      </c>
      <c r="M1158" s="12">
        <v>143</v>
      </c>
      <c r="N1158" s="12">
        <v>28</v>
      </c>
      <c r="O1158" s="15"/>
      <c r="P1158" s="6">
        <v>41222.284699074073</v>
      </c>
      <c r="Q1158" s="11"/>
      <c r="R1158" s="17" t="s">
        <v>6131</v>
      </c>
      <c r="S1158" s="11"/>
      <c r="T1158" s="11"/>
      <c r="U1158" s="10" t="str">
        <f>HYPERLINK("https://pbs.twimg.com/profile_images/965701812689997826/HHCUnXpr.jpg","View")</f>
        <v>View</v>
      </c>
    </row>
    <row r="1159" spans="1:21" ht="40.799999999999997">
      <c r="A1159" s="6">
        <v>43426.074861111112</v>
      </c>
      <c r="B1159" s="7" t="str">
        <f>HYPERLINK("https://twitter.com/PoConsiguiente","@PoConsiguiente")</f>
        <v>@PoConsiguiente</v>
      </c>
      <c r="C1159" s="8" t="s">
        <v>6132</v>
      </c>
      <c r="D1159" s="9" t="s">
        <v>6133</v>
      </c>
      <c r="E1159" s="10" t="str">
        <f>HYPERLINK("https://twitter.com/PoConsiguiente/status/1065542352931037184","1065542352931037184")</f>
        <v>1065542352931037184</v>
      </c>
      <c r="F1159" s="14" t="s">
        <v>96</v>
      </c>
      <c r="G1159" s="11"/>
      <c r="H1159" s="11"/>
      <c r="I1159" s="12">
        <v>0</v>
      </c>
      <c r="J1159" s="12">
        <v>0</v>
      </c>
      <c r="K1159" s="13" t="str">
        <f t="shared" si="237"/>
        <v>Twitter for Android</v>
      </c>
      <c r="L1159" s="12">
        <v>99</v>
      </c>
      <c r="M1159" s="12">
        <v>303</v>
      </c>
      <c r="N1159" s="12">
        <v>0</v>
      </c>
      <c r="O1159" s="15"/>
      <c r="P1159" s="6">
        <v>42461.553020833337</v>
      </c>
      <c r="Q1159" s="16" t="s">
        <v>6134</v>
      </c>
      <c r="R1159" s="17" t="s">
        <v>6135</v>
      </c>
      <c r="S1159" s="11"/>
      <c r="T1159" s="11"/>
      <c r="U1159" s="10" t="str">
        <f>HYPERLINK("https://pbs.twimg.com/profile_images/716222288358731777/z9PNNKNE.jpg","View")</f>
        <v>View</v>
      </c>
    </row>
    <row r="1160" spans="1:21" ht="30.6">
      <c r="A1160" s="6">
        <v>43426.074386574073</v>
      </c>
      <c r="B1160" s="7" t="str">
        <f>HYPERLINK("https://twitter.com/BusySPA","@BusySPA")</f>
        <v>@BusySPA</v>
      </c>
      <c r="C1160" s="8" t="s">
        <v>5946</v>
      </c>
      <c r="D1160" s="9" t="s">
        <v>6136</v>
      </c>
      <c r="E1160" s="10" t="str">
        <f>HYPERLINK("https://twitter.com/BusySPA/status/1065542182080311296","1065542182080311296")</f>
        <v>1065542182080311296</v>
      </c>
      <c r="F1160" s="11"/>
      <c r="G1160" s="11"/>
      <c r="H1160" s="11"/>
      <c r="I1160" s="12">
        <v>0</v>
      </c>
      <c r="J1160" s="12">
        <v>0</v>
      </c>
      <c r="K1160" s="13" t="str">
        <f>HYPERLINK("http://twitter.com","Twitter Web Client")</f>
        <v>Twitter Web Client</v>
      </c>
      <c r="L1160" s="12">
        <v>375</v>
      </c>
      <c r="M1160" s="12">
        <v>98</v>
      </c>
      <c r="N1160" s="12">
        <v>18</v>
      </c>
      <c r="O1160" s="15"/>
      <c r="P1160" s="6">
        <v>40282.574212962965</v>
      </c>
      <c r="Q1160" s="16" t="s">
        <v>5948</v>
      </c>
      <c r="R1160" s="17" t="s">
        <v>5949</v>
      </c>
      <c r="S1160" s="14" t="s">
        <v>5950</v>
      </c>
      <c r="T1160" s="11"/>
      <c r="U1160" s="10" t="str">
        <f>HYPERLINK("https://pbs.twimg.com/profile_images/900406577370365955/4S3LC4j2.jpg","View")</f>
        <v>View</v>
      </c>
    </row>
    <row r="1161" spans="1:21" ht="20.399999999999999">
      <c r="A1161" s="6">
        <v>43426.074247685188</v>
      </c>
      <c r="B1161" s="7" t="str">
        <f>HYPERLINK("https://twitter.com/ancorlan","@ancorlan")</f>
        <v>@ancorlan</v>
      </c>
      <c r="C1161" s="8" t="s">
        <v>6137</v>
      </c>
      <c r="D1161" s="9" t="s">
        <v>6084</v>
      </c>
      <c r="E1161" s="10" t="str">
        <f>HYPERLINK("https://twitter.com/ancorlan/status/1065542129924128768","1065542129924128768")</f>
        <v>1065542129924128768</v>
      </c>
      <c r="F1161" s="14" t="s">
        <v>6085</v>
      </c>
      <c r="G1161" s="11"/>
      <c r="H1161" s="11"/>
      <c r="I1161" s="12">
        <v>0</v>
      </c>
      <c r="J1161" s="12">
        <v>0</v>
      </c>
      <c r="K1161" s="13" t="str">
        <f t="shared" ref="K1161:K1165" si="238">HYPERLINK("http://twitter.com/download/android","Twitter for Android")</f>
        <v>Twitter for Android</v>
      </c>
      <c r="L1161" s="12">
        <v>1347</v>
      </c>
      <c r="M1161" s="12">
        <v>1335</v>
      </c>
      <c r="N1161" s="12">
        <v>29</v>
      </c>
      <c r="O1161" s="15"/>
      <c r="P1161" s="6">
        <v>41549.298310185186</v>
      </c>
      <c r="Q1161" s="11"/>
      <c r="R1161" s="19"/>
      <c r="S1161" s="11"/>
      <c r="T1161" s="11"/>
      <c r="U1161" s="10" t="str">
        <f>HYPERLINK("https://pbs.twimg.com/profile_images/378800000719898959/4a96614ab0d0cf5d140cb10fa65dc039.jpeg","View")</f>
        <v>View</v>
      </c>
    </row>
    <row r="1162" spans="1:21" ht="40.799999999999997">
      <c r="A1162" s="6">
        <v>43426.074155092589</v>
      </c>
      <c r="B1162" s="7" t="str">
        <f>HYPERLINK("https://twitter.com/ssp_cubas","@ssp_cubas")</f>
        <v>@ssp_cubas</v>
      </c>
      <c r="C1162" s="8" t="s">
        <v>6138</v>
      </c>
      <c r="D1162" s="9" t="s">
        <v>6133</v>
      </c>
      <c r="E1162" s="10" t="str">
        <f>HYPERLINK("https://twitter.com/ssp_cubas/status/1065542096277385217","1065542096277385217")</f>
        <v>1065542096277385217</v>
      </c>
      <c r="F1162" s="14" t="s">
        <v>96</v>
      </c>
      <c r="G1162" s="11"/>
      <c r="H1162" s="11"/>
      <c r="I1162" s="12">
        <v>0</v>
      </c>
      <c r="J1162" s="12">
        <v>0</v>
      </c>
      <c r="K1162" s="13" t="str">
        <f t="shared" si="238"/>
        <v>Twitter for Android</v>
      </c>
      <c r="L1162" s="12">
        <v>99</v>
      </c>
      <c r="M1162" s="12">
        <v>136</v>
      </c>
      <c r="N1162" s="12">
        <v>1</v>
      </c>
      <c r="O1162" s="15"/>
      <c r="P1162" s="6">
        <v>42050.093310185184</v>
      </c>
      <c r="Q1162" s="11"/>
      <c r="R1162" s="19"/>
      <c r="S1162" s="11"/>
      <c r="T1162" s="11"/>
      <c r="U1162" s="10" t="str">
        <f>HYPERLINK("https://pbs.twimg.com/profile_images/1016412935634243586/CuotbzoJ.jpg","View")</f>
        <v>View</v>
      </c>
    </row>
    <row r="1163" spans="1:21" ht="40.799999999999997">
      <c r="A1163" s="6">
        <v>43426.073877314819</v>
      </c>
      <c r="B1163" s="7" t="str">
        <f>HYPERLINK("https://twitter.com/podemoscubassg","@podemoscubassg")</f>
        <v>@podemoscubassg</v>
      </c>
      <c r="C1163" s="8" t="s">
        <v>6139</v>
      </c>
      <c r="D1163" s="9" t="s">
        <v>6133</v>
      </c>
      <c r="E1163" s="10" t="str">
        <f>HYPERLINK("https://twitter.com/podemoscubassg/status/1065541994984947712","1065541994984947712")</f>
        <v>1065541994984947712</v>
      </c>
      <c r="F1163" s="14" t="s">
        <v>96</v>
      </c>
      <c r="G1163" s="11"/>
      <c r="H1163" s="11"/>
      <c r="I1163" s="12">
        <v>1</v>
      </c>
      <c r="J1163" s="12">
        <v>1</v>
      </c>
      <c r="K1163" s="13" t="str">
        <f t="shared" si="238"/>
        <v>Twitter for Android</v>
      </c>
      <c r="L1163" s="12">
        <v>597</v>
      </c>
      <c r="M1163" s="12">
        <v>1054</v>
      </c>
      <c r="N1163" s="12">
        <v>11</v>
      </c>
      <c r="O1163" s="15"/>
      <c r="P1163" s="6">
        <v>41889.954571759255</v>
      </c>
      <c r="Q1163" s="16" t="s">
        <v>6140</v>
      </c>
      <c r="R1163" s="17" t="s">
        <v>6141</v>
      </c>
      <c r="S1163" s="11"/>
      <c r="T1163" s="11"/>
      <c r="U1163" s="10" t="str">
        <f>HYPERLINK("https://pbs.twimg.com/profile_images/1016411028433850369/iMiJsxFj.jpg","View")</f>
        <v>View</v>
      </c>
    </row>
    <row r="1164" spans="1:21" ht="40.799999999999997">
      <c r="A1164" s="6">
        <v>43426.073599537034</v>
      </c>
      <c r="B1164" s="7" t="str">
        <f>HYPERLINK("https://twitter.com/juanenruta","@juanenruta")</f>
        <v>@juanenruta</v>
      </c>
      <c r="C1164" s="8" t="s">
        <v>6142</v>
      </c>
      <c r="D1164" s="9" t="s">
        <v>6133</v>
      </c>
      <c r="E1164" s="10" t="str">
        <f>HYPERLINK("https://twitter.com/juanenruta/status/1065541895672274944","1065541895672274944")</f>
        <v>1065541895672274944</v>
      </c>
      <c r="F1164" s="14" t="s">
        <v>96</v>
      </c>
      <c r="G1164" s="11"/>
      <c r="H1164" s="11"/>
      <c r="I1164" s="12">
        <v>0</v>
      </c>
      <c r="J1164" s="12">
        <v>0</v>
      </c>
      <c r="K1164" s="13" t="str">
        <f t="shared" si="238"/>
        <v>Twitter for Android</v>
      </c>
      <c r="L1164" s="12">
        <v>531</v>
      </c>
      <c r="M1164" s="12">
        <v>968</v>
      </c>
      <c r="N1164" s="12">
        <v>8</v>
      </c>
      <c r="O1164" s="15"/>
      <c r="P1164" s="6">
        <v>40823.390289351853</v>
      </c>
      <c r="Q1164" s="16" t="s">
        <v>93</v>
      </c>
      <c r="R1164" s="17" t="s">
        <v>6143</v>
      </c>
      <c r="S1164" s="11"/>
      <c r="T1164" s="11"/>
      <c r="U1164" s="10" t="str">
        <f>HYPERLINK("https://pbs.twimg.com/profile_images/858392199863517184/LQOxEP0p.jpg","View")</f>
        <v>View</v>
      </c>
    </row>
    <row r="1165" spans="1:21" ht="51">
      <c r="A1165" s="6">
        <v>43426.073113425926</v>
      </c>
      <c r="B1165" s="7" t="str">
        <f>HYPERLINK("https://twitter.com/MiercolesRepub1","@MiercolesRepub1")</f>
        <v>@MiercolesRepub1</v>
      </c>
      <c r="C1165" s="8" t="s">
        <v>3646</v>
      </c>
      <c r="D1165" s="9" t="s">
        <v>4178</v>
      </c>
      <c r="E1165" s="10" t="str">
        <f>HYPERLINK("https://twitter.com/MiercolesRepub1/status/1065541719918297088","1065541719918297088")</f>
        <v>1065541719918297088</v>
      </c>
      <c r="F1165" s="14" t="s">
        <v>96</v>
      </c>
      <c r="G1165" s="11"/>
      <c r="H1165" s="11"/>
      <c r="I1165" s="12">
        <v>76</v>
      </c>
      <c r="J1165" s="12">
        <v>59</v>
      </c>
      <c r="K1165" s="13" t="str">
        <f t="shared" si="238"/>
        <v>Twitter for Android</v>
      </c>
      <c r="L1165" s="12">
        <v>5512</v>
      </c>
      <c r="M1165" s="12">
        <v>4884</v>
      </c>
      <c r="N1165" s="12">
        <v>13</v>
      </c>
      <c r="O1165" s="15"/>
      <c r="P1165" s="6">
        <v>43304.753692129627</v>
      </c>
      <c r="Q1165" s="11"/>
      <c r="R1165" s="17" t="s">
        <v>3650</v>
      </c>
      <c r="S1165" s="11"/>
      <c r="T1165" s="11"/>
      <c r="U1165" s="10" t="str">
        <f>HYPERLINK("https://pbs.twimg.com/profile_images/1058334817333452801/s9NoMnXL.jpg","View")</f>
        <v>View</v>
      </c>
    </row>
    <row r="1166" spans="1:21" ht="30.6">
      <c r="A1166" s="6">
        <v>43426.071585648147</v>
      </c>
      <c r="B1166" s="7" t="str">
        <f>HYPERLINK("https://twitter.com/Libert_Democrac","@Libert_Democrac")</f>
        <v>@Libert_Democrac</v>
      </c>
      <c r="C1166" s="8" t="s">
        <v>2319</v>
      </c>
      <c r="D1166" s="9" t="s">
        <v>6144</v>
      </c>
      <c r="E1166" s="10" t="str">
        <f>HYPERLINK("https://twitter.com/Libert_Democrac/status/1065541166526078978","1065541166526078978")</f>
        <v>1065541166526078978</v>
      </c>
      <c r="F1166" s="11"/>
      <c r="G1166" s="11"/>
      <c r="H1166" s="11"/>
      <c r="I1166" s="12">
        <v>0</v>
      </c>
      <c r="J1166" s="12">
        <v>0</v>
      </c>
      <c r="K1166" s="13" t="str">
        <f>HYPERLINK("http://twitter.com/download/iphone","Twitter for iPhone")</f>
        <v>Twitter for iPhone</v>
      </c>
      <c r="L1166" s="12">
        <v>2218</v>
      </c>
      <c r="M1166" s="12">
        <v>1242</v>
      </c>
      <c r="N1166" s="12">
        <v>37</v>
      </c>
      <c r="O1166" s="15"/>
      <c r="P1166" s="6">
        <v>42033.613773148143</v>
      </c>
      <c r="Q1166" s="16" t="s">
        <v>407</v>
      </c>
      <c r="R1166" s="17" t="s">
        <v>2323</v>
      </c>
      <c r="S1166" s="11"/>
      <c r="T1166" s="11"/>
      <c r="U1166" s="10" t="str">
        <f>HYPERLINK("https://pbs.twimg.com/profile_images/957031877352873985/aXOE-NT2.jpg","View")</f>
        <v>View</v>
      </c>
    </row>
    <row r="1167" spans="1:21" ht="20.399999999999999">
      <c r="A1167" s="6">
        <v>43426.07</v>
      </c>
      <c r="B1167" s="7" t="str">
        <f>HYPERLINK("https://twitter.com/RubenCR_99","@RubenCR_99")</f>
        <v>@RubenCR_99</v>
      </c>
      <c r="C1167" s="8" t="s">
        <v>6145</v>
      </c>
      <c r="D1167" s="9" t="s">
        <v>6146</v>
      </c>
      <c r="E1167" s="10" t="str">
        <f>HYPERLINK("https://twitter.com/RubenCR_99/status/1065540593353396224","1065540593353396224")</f>
        <v>1065540593353396224</v>
      </c>
      <c r="F1167" s="11"/>
      <c r="G1167" s="14" t="s">
        <v>6147</v>
      </c>
      <c r="H1167" s="11"/>
      <c r="I1167" s="12">
        <v>0</v>
      </c>
      <c r="J1167" s="12">
        <v>1</v>
      </c>
      <c r="K1167" s="13" t="str">
        <f t="shared" ref="K1167:K1168" si="239">HYPERLINK("http://twitter.com/download/android","Twitter for Android")</f>
        <v>Twitter for Android</v>
      </c>
      <c r="L1167" s="12">
        <v>155</v>
      </c>
      <c r="M1167" s="12">
        <v>1692</v>
      </c>
      <c r="N1167" s="12">
        <v>2</v>
      </c>
      <c r="O1167" s="15"/>
      <c r="P1167" s="6">
        <v>40672.174837962964</v>
      </c>
      <c r="Q1167" s="16" t="s">
        <v>6148</v>
      </c>
      <c r="R1167" s="17" t="s">
        <v>6149</v>
      </c>
      <c r="S1167" s="11"/>
      <c r="T1167" s="11"/>
      <c r="U1167" s="10" t="str">
        <f>HYPERLINK("https://pbs.twimg.com/profile_images/1027167065692626944/IYGul87g.jpg","View")</f>
        <v>View</v>
      </c>
    </row>
    <row r="1168" spans="1:21" ht="30.6">
      <c r="A1168" s="6">
        <v>43426.069907407407</v>
      </c>
      <c r="B1168" s="7" t="str">
        <f>HYPERLINK("https://twitter.com/felsandoval74","@felsandoval74")</f>
        <v>@felsandoval74</v>
      </c>
      <c r="C1168" s="8" t="s">
        <v>2612</v>
      </c>
      <c r="D1168" s="9" t="s">
        <v>2613</v>
      </c>
      <c r="E1168" s="10" t="str">
        <f>HYPERLINK("https://twitter.com/felsandoval74/status/1065540558532288512","1065540558532288512")</f>
        <v>1065540558532288512</v>
      </c>
      <c r="F1168" s="11"/>
      <c r="G1168" s="14" t="s">
        <v>2614</v>
      </c>
      <c r="H1168" s="11"/>
      <c r="I1168" s="12">
        <v>0</v>
      </c>
      <c r="J1168" s="12">
        <v>5</v>
      </c>
      <c r="K1168" s="13" t="str">
        <f t="shared" si="239"/>
        <v>Twitter for Android</v>
      </c>
      <c r="L1168" s="12">
        <v>76</v>
      </c>
      <c r="M1168" s="12">
        <v>223</v>
      </c>
      <c r="N1168" s="12">
        <v>2</v>
      </c>
      <c r="O1168" s="15"/>
      <c r="P1168" s="6">
        <v>41727.189537037033</v>
      </c>
      <c r="Q1168" s="11"/>
      <c r="R1168" s="17" t="s">
        <v>2615</v>
      </c>
      <c r="S1168" s="11"/>
      <c r="T1168" s="11"/>
      <c r="U1168" s="10" t="str">
        <f>HYPERLINK("https://pbs.twimg.com/profile_images/1006461324996612096/04TMLGbZ.jpg","View")</f>
        <v>View</v>
      </c>
    </row>
    <row r="1169" spans="1:21" ht="51">
      <c r="A1169" s="6">
        <v>43426.069456018522</v>
      </c>
      <c r="B1169" s="7" t="str">
        <f>HYPERLINK("https://twitter.com/PodemMontcada","@PodemMontcada")</f>
        <v>@PodemMontcada</v>
      </c>
      <c r="C1169" s="8" t="s">
        <v>2616</v>
      </c>
      <c r="D1169" s="9" t="s">
        <v>2617</v>
      </c>
      <c r="E1169" s="10" t="str">
        <f>HYPERLINK("https://twitter.com/PodemMontcada/status/1065540395701026823","1065540395701026823")</f>
        <v>1065540395701026823</v>
      </c>
      <c r="F1169" s="14" t="s">
        <v>96</v>
      </c>
      <c r="G1169" s="14" t="s">
        <v>2618</v>
      </c>
      <c r="H1169" s="11"/>
      <c r="I1169" s="12">
        <v>1</v>
      </c>
      <c r="J1169" s="12">
        <v>1</v>
      </c>
      <c r="K1169" s="13" t="str">
        <f>HYPERLINK("http://twitter.com/download/iphone","Twitter for iPhone")</f>
        <v>Twitter for iPhone</v>
      </c>
      <c r="L1169" s="12">
        <v>1832</v>
      </c>
      <c r="M1169" s="12">
        <v>254</v>
      </c>
      <c r="N1169" s="12">
        <v>24</v>
      </c>
      <c r="O1169" s="15"/>
      <c r="P1169" s="6">
        <v>41788.109328703707</v>
      </c>
      <c r="Q1169" s="16" t="s">
        <v>2622</v>
      </c>
      <c r="R1169" s="17" t="s">
        <v>2623</v>
      </c>
      <c r="S1169" s="14" t="s">
        <v>2624</v>
      </c>
      <c r="T1169" s="11"/>
      <c r="U1169" s="10" t="str">
        <f>HYPERLINK("https://pbs.twimg.com/profile_images/1064575101276950528/z7hmqSPE.jpg","View")</f>
        <v>View</v>
      </c>
    </row>
    <row r="1170" spans="1:21" ht="51">
      <c r="A1170" s="6">
        <v>43426.068854166668</v>
      </c>
      <c r="B1170" s="7" t="str">
        <f>HYPERLINK("https://twitter.com/Nosoyunculemas","@Nosoyunculemas")</f>
        <v>@Nosoyunculemas</v>
      </c>
      <c r="C1170" s="8" t="s">
        <v>2625</v>
      </c>
      <c r="D1170" s="9" t="s">
        <v>2626</v>
      </c>
      <c r="E1170" s="10" t="str">
        <f>HYPERLINK("https://twitter.com/Nosoyunculemas/status/1065540176624214017","1065540176624214017")</f>
        <v>1065540176624214017</v>
      </c>
      <c r="F1170" s="11"/>
      <c r="G1170" s="14" t="s">
        <v>2627</v>
      </c>
      <c r="H1170" s="11"/>
      <c r="I1170" s="12">
        <v>0</v>
      </c>
      <c r="J1170" s="12">
        <v>0</v>
      </c>
      <c r="K1170" s="13" t="str">
        <f t="shared" ref="K1170:K1171" si="240">HYPERLINK("http://twitter.com/download/android","Twitter for Android")</f>
        <v>Twitter for Android</v>
      </c>
      <c r="L1170" s="12">
        <v>443</v>
      </c>
      <c r="M1170" s="12">
        <v>536</v>
      </c>
      <c r="N1170" s="12">
        <v>14</v>
      </c>
      <c r="O1170" s="15"/>
      <c r="P1170" s="6">
        <v>40968.032187500001</v>
      </c>
      <c r="Q1170" s="16" t="s">
        <v>28</v>
      </c>
      <c r="R1170" s="17" t="s">
        <v>2628</v>
      </c>
      <c r="S1170" s="11"/>
      <c r="T1170" s="11"/>
      <c r="U1170" s="10" t="str">
        <f>HYPERLINK("https://pbs.twimg.com/profile_images/989993255227011074/GOtmISpH.jpg","View")</f>
        <v>View</v>
      </c>
    </row>
    <row r="1171" spans="1:21" ht="51">
      <c r="A1171" s="6">
        <v>43426.068703703699</v>
      </c>
      <c r="B1171" s="7" t="str">
        <f>HYPERLINK("https://twitter.com/pnique","@pnique")</f>
        <v>@pnique</v>
      </c>
      <c r="C1171" s="8" t="s">
        <v>2629</v>
      </c>
      <c r="D1171" s="9" t="s">
        <v>2630</v>
      </c>
      <c r="E1171" s="10" t="str">
        <f>HYPERLINK("https://twitter.com/pnique/status/1065540122991620096","1065540122991620096")</f>
        <v>1065540122991620096</v>
      </c>
      <c r="F1171" s="14" t="s">
        <v>96</v>
      </c>
      <c r="G1171" s="11"/>
      <c r="H1171" s="11"/>
      <c r="I1171" s="12">
        <v>608</v>
      </c>
      <c r="J1171" s="12">
        <v>1081</v>
      </c>
      <c r="K1171" s="13" t="str">
        <f t="shared" si="240"/>
        <v>Twitter for Android</v>
      </c>
      <c r="L1171" s="12">
        <v>434211</v>
      </c>
      <c r="M1171" s="12">
        <v>2000</v>
      </c>
      <c r="N1171" s="12">
        <v>2555</v>
      </c>
      <c r="O1171" s="18" t="s">
        <v>52</v>
      </c>
      <c r="P1171" s="6">
        <v>39892.503287037034</v>
      </c>
      <c r="Q1171" s="16" t="s">
        <v>28</v>
      </c>
      <c r="R1171" s="17" t="s">
        <v>2634</v>
      </c>
      <c r="S1171" s="14" t="s">
        <v>2635</v>
      </c>
      <c r="T1171" s="11"/>
      <c r="U1171" s="10" t="str">
        <f>HYPERLINK("https://pbs.twimg.com/profile_images/1023484378364760065/1e8RgI_V.jpg","View")</f>
        <v>View</v>
      </c>
    </row>
    <row r="1172" spans="1:21" ht="40.799999999999997">
      <c r="A1172" s="6">
        <v>43426.067881944444</v>
      </c>
      <c r="B1172" s="7" t="str">
        <f>HYPERLINK("https://twitter.com/Ferran15621265","@Ferran15621265")</f>
        <v>@Ferran15621265</v>
      </c>
      <c r="C1172" s="8" t="s">
        <v>6150</v>
      </c>
      <c r="D1172" s="9" t="s">
        <v>6151</v>
      </c>
      <c r="E1172" s="10" t="str">
        <f>HYPERLINK("https://twitter.com/Ferran15621265/status/1065539823207923712","1065539823207923712")</f>
        <v>1065539823207923712</v>
      </c>
      <c r="F1172" s="14" t="s">
        <v>96</v>
      </c>
      <c r="G1172" s="11"/>
      <c r="H1172" s="11"/>
      <c r="I1172" s="12">
        <v>0</v>
      </c>
      <c r="J1172" s="12">
        <v>0</v>
      </c>
      <c r="K1172" s="13" t="str">
        <f t="shared" ref="K1172:K1173" si="241">HYPERLINK("http://twitter.com","Twitter Web Client")</f>
        <v>Twitter Web Client</v>
      </c>
      <c r="L1172" s="12">
        <v>4</v>
      </c>
      <c r="M1172" s="12">
        <v>230</v>
      </c>
      <c r="N1172" s="12">
        <v>0</v>
      </c>
      <c r="O1172" s="15"/>
      <c r="P1172" s="6">
        <v>43425.039525462962</v>
      </c>
      <c r="Q1172" s="11"/>
      <c r="R1172" s="19"/>
      <c r="S1172" s="11"/>
      <c r="T1172" s="11"/>
      <c r="U1172" s="10" t="str">
        <f>HYPERLINK("https://pbs.twimg.com/profile_images/1065903576189476869/hvb_f7I2.jpg","View")</f>
        <v>View</v>
      </c>
    </row>
    <row r="1173" spans="1:21" ht="51">
      <c r="A1173" s="6">
        <v>43426.067673611113</v>
      </c>
      <c r="B1173" s="7" t="str">
        <f>HYPERLINK("https://twitter.com/edurne_portela","@edurne_portela")</f>
        <v>@edurne_portela</v>
      </c>
      <c r="C1173" s="8" t="s">
        <v>6152</v>
      </c>
      <c r="D1173" s="9" t="s">
        <v>6153</v>
      </c>
      <c r="E1173" s="10" t="str">
        <f>HYPERLINK("https://twitter.com/edurne_portela/status/1065539747043569664","1065539747043569664")</f>
        <v>1065539747043569664</v>
      </c>
      <c r="F1173" s="14" t="s">
        <v>529</v>
      </c>
      <c r="G1173" s="11"/>
      <c r="H1173" s="11"/>
      <c r="I1173" s="12">
        <v>1</v>
      </c>
      <c r="J1173" s="12">
        <v>10</v>
      </c>
      <c r="K1173" s="13" t="str">
        <f t="shared" si="241"/>
        <v>Twitter Web Client</v>
      </c>
      <c r="L1173" s="12">
        <v>2059</v>
      </c>
      <c r="M1173" s="12">
        <v>427</v>
      </c>
      <c r="N1173" s="12">
        <v>35</v>
      </c>
      <c r="O1173" s="15"/>
      <c r="P1173" s="6">
        <v>42908.16988425926</v>
      </c>
      <c r="Q1173" s="11"/>
      <c r="R1173" s="17" t="s">
        <v>6154</v>
      </c>
      <c r="S1173" s="14" t="s">
        <v>6155</v>
      </c>
      <c r="T1173" s="11"/>
      <c r="U1173" s="10" t="str">
        <f>HYPERLINK("https://pbs.twimg.com/profile_images/1047126786847465472/CKo7dZiV.jpg","View")</f>
        <v>View</v>
      </c>
    </row>
    <row r="1174" spans="1:21" ht="20.399999999999999">
      <c r="A1174" s="6">
        <v>43426.066817129627</v>
      </c>
      <c r="B1174" s="7" t="str">
        <f>HYPERLINK("https://twitter.com/jlazaro","@jlazaro")</f>
        <v>@jlazaro</v>
      </c>
      <c r="C1174" s="8" t="s">
        <v>6156</v>
      </c>
      <c r="D1174" s="9" t="s">
        <v>768</v>
      </c>
      <c r="E1174" s="10" t="str">
        <f>HYPERLINK("https://twitter.com/jlazaro/status/1065539437466136576","1065539437466136576")</f>
        <v>1065539437466136576</v>
      </c>
      <c r="F1174" s="14" t="s">
        <v>529</v>
      </c>
      <c r="G1174" s="11"/>
      <c r="H1174" s="11"/>
      <c r="I1174" s="12">
        <v>0</v>
      </c>
      <c r="J1174" s="12">
        <v>0</v>
      </c>
      <c r="K1174" s="13" t="str">
        <f>HYPERLINK("http://twitter.com/download/android","Twitter for Android")</f>
        <v>Twitter for Android</v>
      </c>
      <c r="L1174" s="12">
        <v>1897</v>
      </c>
      <c r="M1174" s="12">
        <v>191</v>
      </c>
      <c r="N1174" s="12">
        <v>232</v>
      </c>
      <c r="O1174" s="15"/>
      <c r="P1174" s="6">
        <v>39158.254571759258</v>
      </c>
      <c r="Q1174" s="16" t="s">
        <v>6157</v>
      </c>
      <c r="R1174" s="17" t="s">
        <v>6158</v>
      </c>
      <c r="S1174" s="14" t="s">
        <v>6159</v>
      </c>
      <c r="T1174" s="11"/>
      <c r="U1174" s="10" t="str">
        <f>HYPERLINK("https://pbs.twimg.com/profile_images/755005570348879872/X5E1F0EN.jpg","View")</f>
        <v>View</v>
      </c>
    </row>
    <row r="1175" spans="1:21" ht="20.399999999999999">
      <c r="A1175" s="6">
        <v>43426.066724537042</v>
      </c>
      <c r="B1175" s="7" t="str">
        <f>HYPERLINK("https://twitter.com/nemarinba","@nemarinba")</f>
        <v>@nemarinba</v>
      </c>
      <c r="C1175" s="8" t="s">
        <v>2638</v>
      </c>
      <c r="D1175" s="9" t="s">
        <v>2639</v>
      </c>
      <c r="E1175" s="10" t="str">
        <f>HYPERLINK("https://twitter.com/nemarinba/status/1065539403500711938","1065539403500711938")</f>
        <v>1065539403500711938</v>
      </c>
      <c r="F1175" s="14" t="s">
        <v>529</v>
      </c>
      <c r="G1175" s="11"/>
      <c r="H1175" s="11"/>
      <c r="I1175" s="12">
        <v>0</v>
      </c>
      <c r="J1175" s="12">
        <v>0</v>
      </c>
      <c r="K1175" s="13" t="str">
        <f>HYPERLINK("http://twitter.com","Twitter Web Client")</f>
        <v>Twitter Web Client</v>
      </c>
      <c r="L1175" s="12">
        <v>397</v>
      </c>
      <c r="M1175" s="12">
        <v>3228</v>
      </c>
      <c r="N1175" s="12">
        <v>2</v>
      </c>
      <c r="O1175" s="15"/>
      <c r="P1175" s="6">
        <v>40004.206979166665</v>
      </c>
      <c r="Q1175" s="16" t="s">
        <v>2643</v>
      </c>
      <c r="R1175" s="17" t="s">
        <v>2644</v>
      </c>
      <c r="S1175" s="14" t="s">
        <v>2646</v>
      </c>
      <c r="T1175" s="11"/>
      <c r="U1175" s="10" t="str">
        <f>HYPERLINK("https://pbs.twimg.com/profile_images/1031849378481405952/PwlujW8d.jpg","View")</f>
        <v>View</v>
      </c>
    </row>
    <row r="1176" spans="1:21" ht="71.400000000000006">
      <c r="A1176" s="6">
        <v>43426.065960648149</v>
      </c>
      <c r="B1176" s="7" t="str">
        <f>HYPERLINK("https://twitter.com/Brunotsky","@Brunotsky")</f>
        <v>@Brunotsky</v>
      </c>
      <c r="C1176" s="8" t="s">
        <v>2647</v>
      </c>
      <c r="D1176" s="9" t="s">
        <v>2648</v>
      </c>
      <c r="E1176" s="10" t="str">
        <f>HYPERLINK("https://twitter.com/Brunotsky/status/1065539126269788160","1065539126269788160")</f>
        <v>1065539126269788160</v>
      </c>
      <c r="F1176" s="16" t="s">
        <v>2649</v>
      </c>
      <c r="G1176" s="14" t="s">
        <v>2650</v>
      </c>
      <c r="H1176" s="11"/>
      <c r="I1176" s="12">
        <v>10</v>
      </c>
      <c r="J1176" s="12">
        <v>9</v>
      </c>
      <c r="K1176" s="13" t="str">
        <f>HYPERLINK("http://twitter.com/download/android","Twitter for Android")</f>
        <v>Twitter for Android</v>
      </c>
      <c r="L1176" s="12">
        <v>789</v>
      </c>
      <c r="M1176" s="12">
        <v>1353</v>
      </c>
      <c r="N1176" s="12">
        <v>11</v>
      </c>
      <c r="O1176" s="15"/>
      <c r="P1176" s="6">
        <v>40149.421585648146</v>
      </c>
      <c r="Q1176" s="16" t="s">
        <v>93</v>
      </c>
      <c r="R1176" s="17" t="s">
        <v>2651</v>
      </c>
      <c r="S1176" s="11"/>
      <c r="T1176" s="11"/>
      <c r="U1176" s="10" t="str">
        <f>HYPERLINK("https://pbs.twimg.com/profile_images/1058263953229328385/J_J5HDHe.jpg","View")</f>
        <v>View</v>
      </c>
    </row>
    <row r="1177" spans="1:21" ht="30.6">
      <c r="A1177" s="6">
        <v>43426.06585648148</v>
      </c>
      <c r="B1177" s="7" t="str">
        <f>HYPERLINK("https://twitter.com/gaab75","@gaab75")</f>
        <v>@gaab75</v>
      </c>
      <c r="C1177" s="8" t="s">
        <v>6160</v>
      </c>
      <c r="D1177" s="9" t="s">
        <v>6161</v>
      </c>
      <c r="E1177" s="10" t="str">
        <f>HYPERLINK("https://twitter.com/gaab75/status/1065539090072899584","1065539090072899584")</f>
        <v>1065539090072899584</v>
      </c>
      <c r="F1177" s="11"/>
      <c r="G1177" s="11"/>
      <c r="H1177" s="11"/>
      <c r="I1177" s="12">
        <v>1</v>
      </c>
      <c r="J1177" s="12">
        <v>3</v>
      </c>
      <c r="K1177" s="13" t="str">
        <f>HYPERLINK("http://twitter.com","Twitter Web Client")</f>
        <v>Twitter Web Client</v>
      </c>
      <c r="L1177" s="12">
        <v>3587</v>
      </c>
      <c r="M1177" s="12">
        <v>1540</v>
      </c>
      <c r="N1177" s="12">
        <v>96</v>
      </c>
      <c r="O1177" s="15"/>
      <c r="P1177" s="6">
        <v>40128.580196759256</v>
      </c>
      <c r="Q1177" s="16" t="s">
        <v>214</v>
      </c>
      <c r="R1177" s="17" t="s">
        <v>6162</v>
      </c>
      <c r="S1177" s="14" t="s">
        <v>6163</v>
      </c>
      <c r="T1177" s="11"/>
      <c r="U1177" s="10" t="str">
        <f>HYPERLINK("https://pbs.twimg.com/profile_images/958087622638948354/Nn7-v7sP.jpg","View")</f>
        <v>View</v>
      </c>
    </row>
    <row r="1178" spans="1:21" ht="51">
      <c r="A1178" s="6">
        <v>43426.06417824074</v>
      </c>
      <c r="B1178" s="7" t="str">
        <f>HYPERLINK("https://twitter.com/SalaverriMarina","@SalaverriMarina")</f>
        <v>@SalaverriMarina</v>
      </c>
      <c r="C1178" s="8" t="s">
        <v>2652</v>
      </c>
      <c r="D1178" s="9" t="s">
        <v>2653</v>
      </c>
      <c r="E1178" s="10" t="str">
        <f>HYPERLINK("https://twitter.com/SalaverriMarina/status/1065538481806589952","1065538481806589952")</f>
        <v>1065538481806589952</v>
      </c>
      <c r="F1178" s="14" t="s">
        <v>2654</v>
      </c>
      <c r="G1178" s="11"/>
      <c r="H1178" s="11"/>
      <c r="I1178" s="12">
        <v>1</v>
      </c>
      <c r="J1178" s="12">
        <v>0</v>
      </c>
      <c r="K1178" s="13" t="str">
        <f t="shared" ref="K1178:K1179" si="242">HYPERLINK("http://twitter.com/download/android","Twitter for Android")</f>
        <v>Twitter for Android</v>
      </c>
      <c r="L1178" s="12">
        <v>2167</v>
      </c>
      <c r="M1178" s="12">
        <v>2239</v>
      </c>
      <c r="N1178" s="12">
        <v>7</v>
      </c>
      <c r="O1178" s="15"/>
      <c r="P1178" s="6">
        <v>43244.636689814812</v>
      </c>
      <c r="Q1178" s="11"/>
      <c r="R1178" s="17" t="s">
        <v>2657</v>
      </c>
      <c r="S1178" s="11"/>
      <c r="T1178" s="11"/>
      <c r="U1178" s="10" t="str">
        <f>HYPERLINK("https://pbs.twimg.com/profile_images/1058147616729559041/Df6bZXcV.jpg","View")</f>
        <v>View</v>
      </c>
    </row>
    <row r="1179" spans="1:21" ht="20.399999999999999">
      <c r="A1179" s="6">
        <v>43426.063946759255</v>
      </c>
      <c r="B1179" s="7" t="str">
        <f>HYPERLINK("https://twitter.com/Don_Erreqerre","@Don_Erreqerre")</f>
        <v>@Don_Erreqerre</v>
      </c>
      <c r="C1179" s="8" t="s">
        <v>2799</v>
      </c>
      <c r="D1179" s="9" t="s">
        <v>6164</v>
      </c>
      <c r="E1179" s="10" t="str">
        <f>HYPERLINK("https://twitter.com/Don_Erreqerre/status/1065538399044542464","1065538399044542464")</f>
        <v>1065538399044542464</v>
      </c>
      <c r="F1179" s="11"/>
      <c r="G1179" s="11"/>
      <c r="H1179" s="11"/>
      <c r="I1179" s="12">
        <v>0</v>
      </c>
      <c r="J1179" s="12">
        <v>1</v>
      </c>
      <c r="K1179" s="13" t="str">
        <f t="shared" si="242"/>
        <v>Twitter for Android</v>
      </c>
      <c r="L1179" s="12">
        <v>1336</v>
      </c>
      <c r="M1179" s="12">
        <v>1918</v>
      </c>
      <c r="N1179" s="12">
        <v>17</v>
      </c>
      <c r="O1179" s="15"/>
      <c r="P1179" s="6">
        <v>42583.258506944447</v>
      </c>
      <c r="Q1179" s="11"/>
      <c r="R1179" s="17" t="s">
        <v>2802</v>
      </c>
      <c r="S1179" s="11"/>
      <c r="T1179" s="11"/>
      <c r="U1179" s="10" t="str">
        <f>HYPERLINK("https://pbs.twimg.com/profile_images/922104917715832832/tKwzmJac.jpg","View")</f>
        <v>View</v>
      </c>
    </row>
    <row r="1180" spans="1:21" ht="40.799999999999997">
      <c r="A1180" s="6">
        <v>43426.063923611116</v>
      </c>
      <c r="B1180" s="7" t="str">
        <f>HYPERLINK("https://twitter.com/jgarciabuitron","@jgarciabuitron")</f>
        <v>@jgarciabuitron</v>
      </c>
      <c r="C1180" s="8" t="s">
        <v>2659</v>
      </c>
      <c r="D1180" s="9" t="s">
        <v>2660</v>
      </c>
      <c r="E1180" s="10" t="str">
        <f>HYPERLINK("https://twitter.com/jgarciabuitron/status/1065538388625948677","1065538388625948677")</f>
        <v>1065538388625948677</v>
      </c>
      <c r="F1180" s="11"/>
      <c r="G1180" s="11"/>
      <c r="H1180" s="11"/>
      <c r="I1180" s="12">
        <v>3</v>
      </c>
      <c r="J1180" s="12">
        <v>10</v>
      </c>
      <c r="K1180" s="13" t="str">
        <f t="shared" ref="K1180:K1181" si="243">HYPERLINK("http://twitter.com","Twitter Web Client")</f>
        <v>Twitter Web Client</v>
      </c>
      <c r="L1180" s="12">
        <v>7085</v>
      </c>
      <c r="M1180" s="12">
        <v>5449</v>
      </c>
      <c r="N1180" s="12">
        <v>99</v>
      </c>
      <c r="O1180" s="15"/>
      <c r="P1180" s="6">
        <v>41015.490972222222</v>
      </c>
      <c r="Q1180" s="16" t="s">
        <v>2664</v>
      </c>
      <c r="R1180" s="17" t="s">
        <v>2665</v>
      </c>
      <c r="S1180" s="11"/>
      <c r="T1180" s="11"/>
      <c r="U1180" s="10" t="str">
        <f>HYPERLINK("https://pbs.twimg.com/profile_images/743480667665797120/ilmYBnq7.jpg","View")</f>
        <v>View</v>
      </c>
    </row>
    <row r="1181" spans="1:21" ht="30.6">
      <c r="A1181" s="6">
        <v>43426.062986111108</v>
      </c>
      <c r="B1181" s="7" t="str">
        <f>HYPERLINK("https://twitter.com/YoMeAbstengo","@YoMeAbstengo")</f>
        <v>@YoMeAbstengo</v>
      </c>
      <c r="C1181" s="8" t="s">
        <v>6165</v>
      </c>
      <c r="D1181" s="9" t="s">
        <v>6166</v>
      </c>
      <c r="E1181" s="10" t="str">
        <f>HYPERLINK("https://twitter.com/YoMeAbstengo/status/1065538049227018240","1065538049227018240")</f>
        <v>1065538049227018240</v>
      </c>
      <c r="F1181" s="14" t="s">
        <v>529</v>
      </c>
      <c r="G1181" s="11"/>
      <c r="H1181" s="11"/>
      <c r="I1181" s="12">
        <v>0</v>
      </c>
      <c r="J1181" s="12">
        <v>1</v>
      </c>
      <c r="K1181" s="13" t="str">
        <f t="shared" si="243"/>
        <v>Twitter Web Client</v>
      </c>
      <c r="L1181" s="12">
        <v>1778</v>
      </c>
      <c r="M1181" s="12">
        <v>4554</v>
      </c>
      <c r="N1181" s="12">
        <v>36</v>
      </c>
      <c r="O1181" s="15"/>
      <c r="P1181" s="6">
        <v>42376.669317129628</v>
      </c>
      <c r="Q1181" s="11"/>
      <c r="R1181" s="17" t="s">
        <v>6167</v>
      </c>
      <c r="S1181" s="11"/>
      <c r="T1181" s="11"/>
      <c r="U1181" s="10" t="str">
        <f>HYPERLINK("https://pbs.twimg.com/profile_images/685916732184260610/zreST-yg.jpg","View")</f>
        <v>View</v>
      </c>
    </row>
    <row r="1182" spans="1:21" ht="51">
      <c r="A1182" s="6">
        <v>43426.061967592592</v>
      </c>
      <c r="B1182" s="7" t="str">
        <f>HYPERLINK("https://twitter.com/laquintacolumna","@laquintacolumna")</f>
        <v>@laquintacolumna</v>
      </c>
      <c r="C1182" s="8" t="s">
        <v>2666</v>
      </c>
      <c r="D1182" s="9" t="s">
        <v>2667</v>
      </c>
      <c r="E1182" s="10" t="str">
        <f>HYPERLINK("https://twitter.com/laquintacolumna/status/1065537680354811905","1065537680354811905")</f>
        <v>1065537680354811905</v>
      </c>
      <c r="F1182" s="11"/>
      <c r="G1182" s="11"/>
      <c r="H1182" s="11"/>
      <c r="I1182" s="12">
        <v>13</v>
      </c>
      <c r="J1182" s="12">
        <v>32</v>
      </c>
      <c r="K1182" s="13" t="str">
        <f>HYPERLINK("http://twitter.com/download/android","Twitter for Android")</f>
        <v>Twitter for Android</v>
      </c>
      <c r="L1182" s="12">
        <v>41559</v>
      </c>
      <c r="M1182" s="12">
        <v>145</v>
      </c>
      <c r="N1182" s="12">
        <v>1277</v>
      </c>
      <c r="O1182" s="15"/>
      <c r="P1182" s="6">
        <v>39568.090937499997</v>
      </c>
      <c r="Q1182" s="16" t="s">
        <v>388</v>
      </c>
      <c r="R1182" s="17" t="s">
        <v>2668</v>
      </c>
      <c r="S1182" s="11"/>
      <c r="T1182" s="11"/>
      <c r="U1182" s="10" t="str">
        <f>HYPERLINK("https://pbs.twimg.com/profile_images/1058117934525149184/yaVFD3Ng.jpg","View")</f>
        <v>View</v>
      </c>
    </row>
    <row r="1183" spans="1:21" ht="40.799999999999997">
      <c r="A1183" s="6">
        <v>43426.061898148153</v>
      </c>
      <c r="B1183" s="7" t="str">
        <f>HYPERLINK("https://twitter.com/AdeSiracusa","@AdeSiracusa")</f>
        <v>@AdeSiracusa</v>
      </c>
      <c r="C1183" s="8" t="s">
        <v>3890</v>
      </c>
      <c r="D1183" s="9" t="s">
        <v>6168</v>
      </c>
      <c r="E1183" s="10" t="str">
        <f>HYPERLINK("https://twitter.com/AdeSiracusa/status/1065537653779718145","1065537653779718145")</f>
        <v>1065537653779718145</v>
      </c>
      <c r="F1183" s="14" t="s">
        <v>6169</v>
      </c>
      <c r="G1183" s="11"/>
      <c r="H1183" s="11"/>
      <c r="I1183" s="12">
        <v>0</v>
      </c>
      <c r="J1183" s="12">
        <v>0</v>
      </c>
      <c r="K1183" s="13" t="str">
        <f>HYPERLINK("http://www.republicosvenezuela.com/","AdeSiracusa")</f>
        <v>AdeSiracusa</v>
      </c>
      <c r="L1183" s="12">
        <v>3920</v>
      </c>
      <c r="M1183" s="12">
        <v>3927</v>
      </c>
      <c r="N1183" s="12">
        <v>12</v>
      </c>
      <c r="O1183" s="15"/>
      <c r="P1183" s="6">
        <v>42958.201388888891</v>
      </c>
      <c r="Q1183" s="16" t="s">
        <v>3893</v>
      </c>
      <c r="R1183" s="17" t="s">
        <v>3894</v>
      </c>
      <c r="S1183" s="11"/>
      <c r="T1183" s="11"/>
      <c r="U1183" s="10" t="str">
        <f>HYPERLINK("https://pbs.twimg.com/profile_images/895978354591105024/x2wNXrPl.jpg","View")</f>
        <v>View</v>
      </c>
    </row>
    <row r="1184" spans="1:21" ht="71.400000000000006">
      <c r="A1184" s="6">
        <v>43426.061724537038</v>
      </c>
      <c r="B1184" s="7" t="str">
        <f>HYPERLINK("https://twitter.com/maitepagaza","@maitepagaza")</f>
        <v>@maitepagaza</v>
      </c>
      <c r="C1184" s="8" t="s">
        <v>6170</v>
      </c>
      <c r="D1184" s="9" t="s">
        <v>6171</v>
      </c>
      <c r="E1184" s="10" t="str">
        <f>HYPERLINK("https://twitter.com/maitepagaza/status/1065537593738256385","1065537593738256385")</f>
        <v>1065537593738256385</v>
      </c>
      <c r="F1184" s="16" t="s">
        <v>3392</v>
      </c>
      <c r="G1184" s="11"/>
      <c r="H1184" s="11"/>
      <c r="I1184" s="12">
        <v>174</v>
      </c>
      <c r="J1184" s="12">
        <v>318</v>
      </c>
      <c r="K1184" s="13" t="str">
        <f t="shared" ref="K1184:K1185" si="244">HYPERLINK("http://twitter.com","Twitter Web Client")</f>
        <v>Twitter Web Client</v>
      </c>
      <c r="L1184" s="12">
        <v>15291</v>
      </c>
      <c r="M1184" s="12">
        <v>379</v>
      </c>
      <c r="N1184" s="12">
        <v>151</v>
      </c>
      <c r="O1184" s="18" t="s">
        <v>52</v>
      </c>
      <c r="P1184" s="6">
        <v>42185.26152777778</v>
      </c>
      <c r="Q1184" s="16" t="s">
        <v>5863</v>
      </c>
      <c r="R1184" s="17" t="s">
        <v>6172</v>
      </c>
      <c r="S1184" s="14" t="s">
        <v>6173</v>
      </c>
      <c r="T1184" s="11"/>
      <c r="U1184" s="10" t="str">
        <f>HYPERLINK("https://pbs.twimg.com/profile_images/1009783020868468736/vEadtUwL.jpg","View")</f>
        <v>View</v>
      </c>
    </row>
    <row r="1185" spans="1:21" ht="30.6">
      <c r="A1185" s="6">
        <v>43426.060856481483</v>
      </c>
      <c r="B1185" s="7" t="str">
        <f>HYPERLINK("https://twitter.com/josemanuelferra","@josemanuelferra")</f>
        <v>@josemanuelferra</v>
      </c>
      <c r="C1185" s="8" t="s">
        <v>631</v>
      </c>
      <c r="D1185" s="9" t="s">
        <v>2669</v>
      </c>
      <c r="E1185" s="10" t="str">
        <f>HYPERLINK("https://twitter.com/josemanuelferra/status/1065537276787261440","1065537276787261440")</f>
        <v>1065537276787261440</v>
      </c>
      <c r="F1185" s="14" t="s">
        <v>2329</v>
      </c>
      <c r="G1185" s="14" t="s">
        <v>2670</v>
      </c>
      <c r="H1185" s="11"/>
      <c r="I1185" s="12">
        <v>7</v>
      </c>
      <c r="J1185" s="12">
        <v>3</v>
      </c>
      <c r="K1185" s="13" t="str">
        <f t="shared" si="244"/>
        <v>Twitter Web Client</v>
      </c>
      <c r="L1185" s="12">
        <v>5169</v>
      </c>
      <c r="M1185" s="12">
        <v>4766</v>
      </c>
      <c r="N1185" s="12">
        <v>41</v>
      </c>
      <c r="O1185" s="15"/>
      <c r="P1185" s="6">
        <v>40714.10119212963</v>
      </c>
      <c r="Q1185" s="16" t="s">
        <v>637</v>
      </c>
      <c r="R1185" s="17" t="s">
        <v>638</v>
      </c>
      <c r="S1185" s="14" t="s">
        <v>639</v>
      </c>
      <c r="T1185" s="11"/>
      <c r="U1185" s="10" t="str">
        <f>HYPERLINK("https://pbs.twimg.com/profile_images/1060871302498652161/auhatgNP.jpg","View")</f>
        <v>View</v>
      </c>
    </row>
    <row r="1186" spans="1:21" ht="40.799999999999997">
      <c r="A1186" s="6">
        <v>43426.060254629629</v>
      </c>
      <c r="B1186" s="7" t="str">
        <f>HYPERLINK("https://twitter.com/SuperRoStar","@SuperRoStar")</f>
        <v>@SuperRoStar</v>
      </c>
      <c r="C1186" s="8" t="s">
        <v>2673</v>
      </c>
      <c r="D1186" s="9" t="s">
        <v>2674</v>
      </c>
      <c r="E1186" s="10" t="str">
        <f>HYPERLINK("https://twitter.com/SuperRoStar/status/1065537060851933184","1065537060851933184")</f>
        <v>1065537060851933184</v>
      </c>
      <c r="F1186" s="14" t="s">
        <v>289</v>
      </c>
      <c r="G1186" s="11"/>
      <c r="H1186" s="11"/>
      <c r="I1186" s="12">
        <v>281</v>
      </c>
      <c r="J1186" s="12">
        <v>643</v>
      </c>
      <c r="K1186" s="13" t="str">
        <f t="shared" ref="K1186:K1187" si="245">HYPERLINK("http://twitter.com/download/android","Twitter for Android")</f>
        <v>Twitter for Android</v>
      </c>
      <c r="L1186" s="12">
        <v>1698</v>
      </c>
      <c r="M1186" s="12">
        <v>706</v>
      </c>
      <c r="N1186" s="12">
        <v>34</v>
      </c>
      <c r="O1186" s="15"/>
      <c r="P1186" s="6">
        <v>40963.523518518516</v>
      </c>
      <c r="Q1186" s="16" t="s">
        <v>38</v>
      </c>
      <c r="R1186" s="17" t="s">
        <v>2677</v>
      </c>
      <c r="S1186" s="14" t="s">
        <v>2678</v>
      </c>
      <c r="T1186" s="11"/>
      <c r="U1186" s="10" t="str">
        <f>HYPERLINK("https://pbs.twimg.com/profile_images/847436402383925248/xgQoFEk0.jpg","View")</f>
        <v>View</v>
      </c>
    </row>
    <row r="1187" spans="1:21" ht="81.599999999999994">
      <c r="A1187" s="6">
        <v>43426.060057870374</v>
      </c>
      <c r="B1187" s="7" t="str">
        <f>HYPERLINK("https://twitter.com/tuttoenbilbao","@tuttoenbilbao")</f>
        <v>@tuttoenbilbao</v>
      </c>
      <c r="C1187" s="8" t="s">
        <v>2681</v>
      </c>
      <c r="D1187" s="9" t="s">
        <v>2682</v>
      </c>
      <c r="E1187" s="10" t="str">
        <f>HYPERLINK("https://twitter.com/tuttoenbilbao/status/1065536990316281857","1065536990316281857")</f>
        <v>1065536990316281857</v>
      </c>
      <c r="F1187" s="16" t="s">
        <v>2685</v>
      </c>
      <c r="G1187" s="11"/>
      <c r="H1187" s="11"/>
      <c r="I1187" s="12">
        <v>1</v>
      </c>
      <c r="J1187" s="12">
        <v>0</v>
      </c>
      <c r="K1187" s="13" t="str">
        <f t="shared" si="245"/>
        <v>Twitter for Android</v>
      </c>
      <c r="L1187" s="12">
        <v>411</v>
      </c>
      <c r="M1187" s="12">
        <v>295</v>
      </c>
      <c r="N1187" s="12">
        <v>25</v>
      </c>
      <c r="O1187" s="15"/>
      <c r="P1187" s="6">
        <v>39816.091527777782</v>
      </c>
      <c r="Q1187" s="16" t="s">
        <v>2686</v>
      </c>
      <c r="R1187" s="17" t="s">
        <v>2687</v>
      </c>
      <c r="S1187" s="14" t="s">
        <v>2688</v>
      </c>
      <c r="T1187" s="11"/>
      <c r="U1187" s="10" t="str">
        <f>HYPERLINK("https://pbs.twimg.com/profile_images/649105902151290880/CldNLEmx.jpg","View")</f>
        <v>View</v>
      </c>
    </row>
    <row r="1188" spans="1:21" ht="20.399999999999999">
      <c r="A1188" s="6">
        <v>43426.059976851851</v>
      </c>
      <c r="B1188" s="7" t="str">
        <f>HYPERLINK("https://twitter.com/JMLuqueJ","@JMLuqueJ")</f>
        <v>@JMLuqueJ</v>
      </c>
      <c r="C1188" s="8" t="s">
        <v>2692</v>
      </c>
      <c r="D1188" s="9" t="s">
        <v>2693</v>
      </c>
      <c r="E1188" s="10" t="str">
        <f>HYPERLINK("https://twitter.com/JMLuqueJ/status/1065536961237196800","1065536961237196800")</f>
        <v>1065536961237196800</v>
      </c>
      <c r="F1188" s="14" t="s">
        <v>96</v>
      </c>
      <c r="G1188" s="11"/>
      <c r="H1188" s="11"/>
      <c r="I1188" s="12">
        <v>1</v>
      </c>
      <c r="J1188" s="12">
        <v>1</v>
      </c>
      <c r="K1188" s="13" t="str">
        <f t="shared" ref="K1188:K1191" si="246">HYPERLINK("http://twitter.com/download/iphone","Twitter for iPhone")</f>
        <v>Twitter for iPhone</v>
      </c>
      <c r="L1188" s="12">
        <v>548</v>
      </c>
      <c r="M1188" s="12">
        <v>607</v>
      </c>
      <c r="N1188" s="12">
        <v>8</v>
      </c>
      <c r="O1188" s="15"/>
      <c r="P1188" s="6">
        <v>40293.098738425928</v>
      </c>
      <c r="Q1188" s="16" t="s">
        <v>2695</v>
      </c>
      <c r="R1188" s="17" t="s">
        <v>2696</v>
      </c>
      <c r="S1188" s="14" t="s">
        <v>2697</v>
      </c>
      <c r="T1188" s="11"/>
      <c r="U1188" s="10" t="str">
        <f>HYPERLINK("https://pbs.twimg.com/profile_images/773925054073667584/WFzuItgw.jpg","View")</f>
        <v>View</v>
      </c>
    </row>
    <row r="1189" spans="1:21" ht="40.799999999999997">
      <c r="A1189" s="6">
        <v>43426.058738425927</v>
      </c>
      <c r="B1189" s="7" t="str">
        <f>HYPERLINK("https://twitter.com/ivisgodo","@ivisgodo")</f>
        <v>@ivisgodo</v>
      </c>
      <c r="C1189" s="8" t="s">
        <v>6175</v>
      </c>
      <c r="D1189" s="9" t="s">
        <v>768</v>
      </c>
      <c r="E1189" s="10" t="str">
        <f>HYPERLINK("https://twitter.com/ivisgodo/status/1065536510915723264","1065536510915723264")</f>
        <v>1065536510915723264</v>
      </c>
      <c r="F1189" s="14" t="s">
        <v>529</v>
      </c>
      <c r="G1189" s="11"/>
      <c r="H1189" s="11"/>
      <c r="I1189" s="12">
        <v>1</v>
      </c>
      <c r="J1189" s="12">
        <v>0</v>
      </c>
      <c r="K1189" s="13" t="str">
        <f t="shared" si="246"/>
        <v>Twitter for iPhone</v>
      </c>
      <c r="L1189" s="12">
        <v>1695</v>
      </c>
      <c r="M1189" s="12">
        <v>836</v>
      </c>
      <c r="N1189" s="12">
        <v>5</v>
      </c>
      <c r="O1189" s="15"/>
      <c r="P1189" s="6">
        <v>40998.534930555557</v>
      </c>
      <c r="Q1189" s="16" t="s">
        <v>6176</v>
      </c>
      <c r="R1189" s="17" t="s">
        <v>6177</v>
      </c>
      <c r="S1189" s="11"/>
      <c r="T1189" s="11"/>
      <c r="U1189" s="10" t="str">
        <f>HYPERLINK("https://pbs.twimg.com/profile_images/564079732967219202/CJjoeopF.jpeg","View")</f>
        <v>View</v>
      </c>
    </row>
    <row r="1190" spans="1:21" ht="51">
      <c r="A1190" s="6">
        <v>43426.058333333334</v>
      </c>
      <c r="B1190" s="7" t="str">
        <f>HYPERLINK("https://twitter.com/davidquiros","@davidquiros")</f>
        <v>@davidquiros</v>
      </c>
      <c r="C1190" s="8" t="s">
        <v>2699</v>
      </c>
      <c r="D1190" s="9" t="s">
        <v>2700</v>
      </c>
      <c r="E1190" s="10" t="str">
        <f>HYPERLINK("https://twitter.com/davidquiros/status/1065536365578850304","1065536365578850304")</f>
        <v>1065536365578850304</v>
      </c>
      <c r="F1190" s="14" t="s">
        <v>2701</v>
      </c>
      <c r="G1190" s="11"/>
      <c r="H1190" s="11"/>
      <c r="I1190" s="12">
        <v>0</v>
      </c>
      <c r="J1190" s="12">
        <v>3</v>
      </c>
      <c r="K1190" s="13" t="str">
        <f t="shared" si="246"/>
        <v>Twitter for iPhone</v>
      </c>
      <c r="L1190" s="12">
        <v>925</v>
      </c>
      <c r="M1190" s="12">
        <v>919</v>
      </c>
      <c r="N1190" s="12">
        <v>224</v>
      </c>
      <c r="O1190" s="15"/>
      <c r="P1190" s="6">
        <v>40630.27144675926</v>
      </c>
      <c r="Q1190" s="16" t="s">
        <v>2703</v>
      </c>
      <c r="R1190" s="17" t="s">
        <v>2704</v>
      </c>
      <c r="S1190" s="14" t="s">
        <v>2705</v>
      </c>
      <c r="T1190" s="11"/>
      <c r="U1190" s="10" t="str">
        <f>HYPERLINK("https://pbs.twimg.com/profile_images/710061264651862016/28kCrFMc.jpg","View")</f>
        <v>View</v>
      </c>
    </row>
    <row r="1191" spans="1:21" ht="30.6">
      <c r="A1191" s="6">
        <v>43426.058171296296</v>
      </c>
      <c r="B1191" s="7" t="str">
        <f>HYPERLINK("https://twitter.com/MEspinosa_","@MEspinosa_")</f>
        <v>@MEspinosa_</v>
      </c>
      <c r="C1191" s="8" t="s">
        <v>2708</v>
      </c>
      <c r="D1191" s="9" t="s">
        <v>2709</v>
      </c>
      <c r="E1191" s="10" t="str">
        <f>HYPERLINK("https://twitter.com/MEspinosa_/status/1065536304912453633","1065536304912453633")</f>
        <v>1065536304912453633</v>
      </c>
      <c r="F1191" s="14" t="s">
        <v>96</v>
      </c>
      <c r="G1191" s="11"/>
      <c r="H1191" s="11"/>
      <c r="I1191" s="12">
        <v>8</v>
      </c>
      <c r="J1191" s="12">
        <v>6</v>
      </c>
      <c r="K1191" s="13" t="str">
        <f t="shared" si="246"/>
        <v>Twitter for iPhone</v>
      </c>
      <c r="L1191" s="12">
        <v>7370</v>
      </c>
      <c r="M1191" s="12">
        <v>2542</v>
      </c>
      <c r="N1191" s="12">
        <v>124</v>
      </c>
      <c r="O1191" s="18" t="s">
        <v>52</v>
      </c>
      <c r="P1191" s="6">
        <v>40815.119467592594</v>
      </c>
      <c r="Q1191" s="11"/>
      <c r="R1191" s="17" t="s">
        <v>2710</v>
      </c>
      <c r="S1191" s="14" t="s">
        <v>2711</v>
      </c>
      <c r="T1191" s="11"/>
      <c r="U1191" s="10" t="str">
        <f>HYPERLINK("https://pbs.twimg.com/profile_images/1008732683038576640/ITz4ezY7.jpg","View")</f>
        <v>View</v>
      </c>
    </row>
    <row r="1192" spans="1:21" ht="20.399999999999999">
      <c r="A1192" s="6">
        <v>43426.056435185186</v>
      </c>
      <c r="B1192" s="7" t="str">
        <f>HYPERLINK("https://twitter.com/Integridad2","@Integridad2")</f>
        <v>@Integridad2</v>
      </c>
      <c r="C1192" s="8" t="s">
        <v>6178</v>
      </c>
      <c r="D1192" s="9" t="s">
        <v>6179</v>
      </c>
      <c r="E1192" s="10" t="str">
        <f>HYPERLINK("https://twitter.com/Integridad2/status/1065535678019264517","1065535678019264517")</f>
        <v>1065535678019264517</v>
      </c>
      <c r="F1192" s="14" t="s">
        <v>6180</v>
      </c>
      <c r="G1192" s="11"/>
      <c r="H1192" s="11"/>
      <c r="I1192" s="12">
        <v>0</v>
      </c>
      <c r="J1192" s="12">
        <v>0</v>
      </c>
      <c r="K1192" s="13" t="str">
        <f t="shared" ref="K1192:K1194" si="247">HYPERLINK("http://twitter.com","Twitter Web Client")</f>
        <v>Twitter Web Client</v>
      </c>
      <c r="L1192" s="12">
        <v>1047</v>
      </c>
      <c r="M1192" s="12">
        <v>1453</v>
      </c>
      <c r="N1192" s="12">
        <v>80</v>
      </c>
      <c r="O1192" s="15"/>
      <c r="P1192" s="6">
        <v>41437.998148148152</v>
      </c>
      <c r="Q1192" s="11"/>
      <c r="R1192" s="19"/>
      <c r="S1192" s="11"/>
      <c r="T1192" s="11"/>
      <c r="U1192" s="10" t="str">
        <f>HYPERLINK("https://pbs.twimg.com/profile_images/480748180632764416/q658HQwu.jpeg","View")</f>
        <v>View</v>
      </c>
    </row>
    <row r="1193" spans="1:21" ht="40.799999999999997">
      <c r="A1193" s="6">
        <v>43426.055011574077</v>
      </c>
      <c r="B1193" s="7" t="str">
        <f>HYPERLINK("https://twitter.com/MiriamRuiz_","@MiriamRuiz_")</f>
        <v>@MiriamRuiz_</v>
      </c>
      <c r="C1193" s="8" t="s">
        <v>6181</v>
      </c>
      <c r="D1193" s="9" t="s">
        <v>6182</v>
      </c>
      <c r="E1193" s="10" t="str">
        <f>HYPERLINK("https://twitter.com/MiriamRuiz_/status/1065535158076477440","1065535158076477440")</f>
        <v>1065535158076477440</v>
      </c>
      <c r="F1193" s="16" t="s">
        <v>6183</v>
      </c>
      <c r="G1193" s="11"/>
      <c r="H1193" s="11"/>
      <c r="I1193" s="12">
        <v>2</v>
      </c>
      <c r="J1193" s="12">
        <v>2</v>
      </c>
      <c r="K1193" s="13" t="str">
        <f t="shared" si="247"/>
        <v>Twitter Web Client</v>
      </c>
      <c r="L1193" s="12">
        <v>1480</v>
      </c>
      <c r="M1193" s="12">
        <v>1521</v>
      </c>
      <c r="N1193" s="12">
        <v>76</v>
      </c>
      <c r="O1193" s="15"/>
      <c r="P1193" s="6">
        <v>40651.082071759258</v>
      </c>
      <c r="Q1193" s="16" t="s">
        <v>38</v>
      </c>
      <c r="R1193" s="17" t="s">
        <v>6184</v>
      </c>
      <c r="S1193" s="14" t="s">
        <v>6185</v>
      </c>
      <c r="T1193" s="11"/>
      <c r="U1193" s="10" t="str">
        <f>HYPERLINK("https://pbs.twimg.com/profile_images/973159411047895041/6UpZ984C.jpg","View")</f>
        <v>View</v>
      </c>
    </row>
    <row r="1194" spans="1:21" ht="51">
      <c r="A1194" s="6">
        <v>43426.053599537037</v>
      </c>
      <c r="B1194" s="7" t="str">
        <f>HYPERLINK("https://twitter.com/PodemEivissa","@PodemEivissa")</f>
        <v>@PodemEivissa</v>
      </c>
      <c r="C1194" s="8" t="s">
        <v>2716</v>
      </c>
      <c r="D1194" s="9" t="s">
        <v>2717</v>
      </c>
      <c r="E1194" s="10" t="str">
        <f>HYPERLINK("https://twitter.com/PodemEivissa/status/1065534647352856577","1065534647352856577")</f>
        <v>1065534647352856577</v>
      </c>
      <c r="F1194" s="14" t="s">
        <v>96</v>
      </c>
      <c r="G1194" s="14" t="s">
        <v>2720</v>
      </c>
      <c r="H1194" s="11"/>
      <c r="I1194" s="12">
        <v>0</v>
      </c>
      <c r="J1194" s="12">
        <v>0</v>
      </c>
      <c r="K1194" s="13" t="str">
        <f t="shared" si="247"/>
        <v>Twitter Web Client</v>
      </c>
      <c r="L1194" s="12">
        <v>2699</v>
      </c>
      <c r="M1194" s="12">
        <v>1563</v>
      </c>
      <c r="N1194" s="12">
        <v>49</v>
      </c>
      <c r="O1194" s="18" t="s">
        <v>52</v>
      </c>
      <c r="P1194" s="6">
        <v>41695.105057870373</v>
      </c>
      <c r="Q1194" s="16" t="s">
        <v>2722</v>
      </c>
      <c r="R1194" s="17" t="s">
        <v>2723</v>
      </c>
      <c r="S1194" s="14" t="s">
        <v>2724</v>
      </c>
      <c r="T1194" s="11"/>
      <c r="U1194" s="10" t="str">
        <f>HYPERLINK("https://pbs.twimg.com/profile_images/1023856276877586438/lgpE_OZ9.jpg","View")</f>
        <v>View</v>
      </c>
    </row>
    <row r="1195" spans="1:21" ht="51">
      <c r="A1195" s="6">
        <v>43426.052997685183</v>
      </c>
      <c r="B1195" s="7" t="str">
        <f>HYPERLINK("https://twitter.com/mdoloresamadeo","@mdoloresamadeo")</f>
        <v>@mdoloresamadeo</v>
      </c>
      <c r="C1195" s="8" t="s">
        <v>2728</v>
      </c>
      <c r="D1195" s="9" t="s">
        <v>2729</v>
      </c>
      <c r="E1195" s="10" t="str">
        <f>HYPERLINK("https://twitter.com/mdoloresamadeo/status/1065534428498329606","1065534428498329606")</f>
        <v>1065534428498329606</v>
      </c>
      <c r="F1195" s="14" t="s">
        <v>2731</v>
      </c>
      <c r="G1195" s="11"/>
      <c r="H1195" s="11"/>
      <c r="I1195" s="12">
        <v>2</v>
      </c>
      <c r="J1195" s="12">
        <v>3</v>
      </c>
      <c r="K1195" s="13" t="str">
        <f>HYPERLINK("http://twitter.com/download/android","Twitter for Android")</f>
        <v>Twitter for Android</v>
      </c>
      <c r="L1195" s="12">
        <v>1011</v>
      </c>
      <c r="M1195" s="12">
        <v>1443</v>
      </c>
      <c r="N1195" s="12">
        <v>14</v>
      </c>
      <c r="O1195" s="15"/>
      <c r="P1195" s="6">
        <v>40287.66541666667</v>
      </c>
      <c r="Q1195" s="11"/>
      <c r="R1195" s="17" t="s">
        <v>2734</v>
      </c>
      <c r="S1195" s="11"/>
      <c r="T1195" s="11"/>
      <c r="U1195" s="10" t="str">
        <f>HYPERLINK("https://pbs.twimg.com/profile_images/1053414782940971008/EUsoocir.jpg","View")</f>
        <v>View</v>
      </c>
    </row>
    <row r="1196" spans="1:21" ht="40.799999999999997">
      <c r="A1196" s="6">
        <v>43426.052060185189</v>
      </c>
      <c r="B1196" s="7" t="str">
        <f>HYPERLINK("https://twitter.com/pedrocstr8","@pedrocstr8")</f>
        <v>@pedrocstr8</v>
      </c>
      <c r="C1196" s="8" t="s">
        <v>2735</v>
      </c>
      <c r="D1196" s="9" t="s">
        <v>2736</v>
      </c>
      <c r="E1196" s="10" t="str">
        <f>HYPERLINK("https://twitter.com/pedrocstr8/status/1065534090429034496","1065534090429034496")</f>
        <v>1065534090429034496</v>
      </c>
      <c r="F1196" s="14" t="s">
        <v>79</v>
      </c>
      <c r="G1196" s="11"/>
      <c r="H1196" s="11"/>
      <c r="I1196" s="12">
        <v>4</v>
      </c>
      <c r="J1196" s="12">
        <v>6</v>
      </c>
      <c r="K1196" s="13" t="str">
        <f>HYPERLINK("http://twitter.com/download/iphone","Twitter for iPhone")</f>
        <v>Twitter for iPhone</v>
      </c>
      <c r="L1196" s="12">
        <v>339</v>
      </c>
      <c r="M1196" s="12">
        <v>1129</v>
      </c>
      <c r="N1196" s="12">
        <v>4</v>
      </c>
      <c r="O1196" s="15"/>
      <c r="P1196" s="6">
        <v>41776.243576388893</v>
      </c>
      <c r="Q1196" s="11"/>
      <c r="R1196" s="17" t="s">
        <v>2739</v>
      </c>
      <c r="S1196" s="11"/>
      <c r="T1196" s="11"/>
      <c r="U1196" s="10" t="str">
        <f>HYPERLINK("https://pbs.twimg.com/profile_images/1055814654700720128/sBRfvgl7.jpg","View")</f>
        <v>View</v>
      </c>
    </row>
    <row r="1197" spans="1:21" ht="20.399999999999999">
      <c r="A1197" s="6">
        <v>43426.051793981482</v>
      </c>
      <c r="B1197" s="7" t="str">
        <f>HYPERLINK("https://twitter.com/charocparma","@charocparma")</f>
        <v>@charocparma</v>
      </c>
      <c r="C1197" s="8" t="s">
        <v>6186</v>
      </c>
      <c r="D1197" s="9" t="s">
        <v>768</v>
      </c>
      <c r="E1197" s="10" t="str">
        <f>HYPERLINK("https://twitter.com/charocparma/status/1065533993532182528","1065533993532182528")</f>
        <v>1065533993532182528</v>
      </c>
      <c r="F1197" s="14" t="s">
        <v>529</v>
      </c>
      <c r="G1197" s="11"/>
      <c r="H1197" s="11"/>
      <c r="I1197" s="12">
        <v>0</v>
      </c>
      <c r="J1197" s="12">
        <v>0</v>
      </c>
      <c r="K1197" s="13" t="str">
        <f>HYPERLINK("http://twitter.com","Twitter Web Client")</f>
        <v>Twitter Web Client</v>
      </c>
      <c r="L1197" s="12">
        <v>162</v>
      </c>
      <c r="M1197" s="12">
        <v>1394</v>
      </c>
      <c r="N1197" s="12">
        <v>1</v>
      </c>
      <c r="O1197" s="15"/>
      <c r="P1197" s="6">
        <v>41514.348773148144</v>
      </c>
      <c r="Q1197" s="11"/>
      <c r="R1197" s="19"/>
      <c r="S1197" s="11"/>
      <c r="T1197" s="11"/>
      <c r="U1197" s="10" t="str">
        <f>HYPERLINK("https://pbs.twimg.com/profile_images/740195183141244928/SL4kGaqJ.jpg","View")</f>
        <v>View</v>
      </c>
    </row>
    <row r="1198" spans="1:21" ht="51">
      <c r="A1198" s="6">
        <v>43426.051400462966</v>
      </c>
      <c r="B1198" s="7" t="str">
        <f>HYPERLINK("https://twitter.com/Nanchinho","@Nanchinho")</f>
        <v>@Nanchinho</v>
      </c>
      <c r="C1198" s="8" t="s">
        <v>2741</v>
      </c>
      <c r="D1198" s="9" t="s">
        <v>2742</v>
      </c>
      <c r="E1198" s="10" t="str">
        <f>HYPERLINK("https://twitter.com/Nanchinho/status/1065533851752116224","1065533851752116224")</f>
        <v>1065533851752116224</v>
      </c>
      <c r="F1198" s="14" t="s">
        <v>96</v>
      </c>
      <c r="G1198" s="11"/>
      <c r="H1198" s="11"/>
      <c r="I1198" s="12">
        <v>566</v>
      </c>
      <c r="J1198" s="12">
        <v>984</v>
      </c>
      <c r="K1198" s="13" t="str">
        <f>HYPERLINK("http://twitter.com/download/android","Twitter for Android")</f>
        <v>Twitter for Android</v>
      </c>
      <c r="L1198" s="12">
        <v>21175</v>
      </c>
      <c r="M1198" s="12">
        <v>360</v>
      </c>
      <c r="N1198" s="12">
        <v>189</v>
      </c>
      <c r="O1198" s="15"/>
      <c r="P1198" s="6">
        <v>41937.596898148149</v>
      </c>
      <c r="Q1198" s="16" t="s">
        <v>2743</v>
      </c>
      <c r="R1198" s="17" t="s">
        <v>2744</v>
      </c>
      <c r="S1198" s="11"/>
      <c r="T1198" s="11"/>
      <c r="U1198" s="10" t="str">
        <f>HYPERLINK("https://pbs.twimg.com/profile_images/1063892430804664320/vpPL-ICz.jpg","View")</f>
        <v>View</v>
      </c>
    </row>
    <row r="1199" spans="1:21" ht="20.399999999999999">
      <c r="A1199" s="6">
        <v>43426.050949074073</v>
      </c>
      <c r="B1199" s="7" t="str">
        <f>HYPERLINK("https://twitter.com/MelchorReyMago1","@MelchorReyMago1")</f>
        <v>@MelchorReyMago1</v>
      </c>
      <c r="C1199" s="8" t="s">
        <v>6187</v>
      </c>
      <c r="D1199" s="9" t="s">
        <v>768</v>
      </c>
      <c r="E1199" s="10" t="str">
        <f>HYPERLINK("https://twitter.com/MelchorReyMago1/status/1065533688325304320","1065533688325304320")</f>
        <v>1065533688325304320</v>
      </c>
      <c r="F1199" s="14" t="s">
        <v>529</v>
      </c>
      <c r="G1199" s="11"/>
      <c r="H1199" s="11"/>
      <c r="I1199" s="12">
        <v>0</v>
      </c>
      <c r="J1199" s="12">
        <v>0</v>
      </c>
      <c r="K1199" s="13" t="str">
        <f>HYPERLINK("http://twitter.com/download/iphone","Twitter for iPhone")</f>
        <v>Twitter for iPhone</v>
      </c>
      <c r="L1199" s="12">
        <v>1</v>
      </c>
      <c r="M1199" s="12">
        <v>33</v>
      </c>
      <c r="N1199" s="12">
        <v>0</v>
      </c>
      <c r="O1199" s="15"/>
      <c r="P1199" s="6">
        <v>42348.532789351855</v>
      </c>
      <c r="Q1199" s="11"/>
      <c r="R1199" s="19"/>
      <c r="S1199" s="11"/>
      <c r="T1199" s="11"/>
      <c r="U1199" s="10" t="str">
        <f>HYPERLINK("https://pbs.twimg.com/profile_images/675055208632856576/Qh2mh_Qv.jpg","View")</f>
        <v>View</v>
      </c>
    </row>
    <row r="1200" spans="1:21" ht="30.6">
      <c r="A1200" s="6">
        <v>43426.050509259258</v>
      </c>
      <c r="B1200" s="7" t="str">
        <f>HYPERLINK("https://twitter.com/PedroLAlcantara","@PedroLAlcantara")</f>
        <v>@PedroLAlcantara</v>
      </c>
      <c r="C1200" s="8" t="s">
        <v>6188</v>
      </c>
      <c r="D1200" s="9" t="s">
        <v>6189</v>
      </c>
      <c r="E1200" s="10" t="str">
        <f>HYPERLINK("https://twitter.com/PedroLAlcantara/status/1065533529394688001","1065533529394688001")</f>
        <v>1065533529394688001</v>
      </c>
      <c r="F1200" s="11"/>
      <c r="G1200" s="11"/>
      <c r="H1200" s="11"/>
      <c r="I1200" s="12">
        <v>0</v>
      </c>
      <c r="J1200" s="12">
        <v>0</v>
      </c>
      <c r="K1200" s="13" t="str">
        <f t="shared" ref="K1200:K1202" si="248">HYPERLINK("http://twitter.com","Twitter Web Client")</f>
        <v>Twitter Web Client</v>
      </c>
      <c r="L1200" s="12">
        <v>61</v>
      </c>
      <c r="M1200" s="12">
        <v>161</v>
      </c>
      <c r="N1200" s="12">
        <v>2</v>
      </c>
      <c r="O1200" s="15"/>
      <c r="P1200" s="6">
        <v>40969.002881944441</v>
      </c>
      <c r="Q1200" s="16" t="s">
        <v>87</v>
      </c>
      <c r="R1200" s="19"/>
      <c r="S1200" s="11"/>
      <c r="T1200" s="11"/>
      <c r="U1200" s="10" t="str">
        <f>HYPERLINK("https://pbs.twimg.com/profile_images/1058774013932195840/MUXuQ46Q.jpg","View")</f>
        <v>View</v>
      </c>
    </row>
    <row r="1201" spans="1:21" ht="51">
      <c r="A1201" s="6">
        <v>43426.049733796295</v>
      </c>
      <c r="B1201" s="7" t="str">
        <f>HYPERLINK("https://twitter.com/globalmartin","@globalmartin")</f>
        <v>@globalmartin</v>
      </c>
      <c r="C1201" s="8" t="s">
        <v>2745</v>
      </c>
      <c r="D1201" s="9" t="s">
        <v>2746</v>
      </c>
      <c r="E1201" s="10" t="str">
        <f>HYPERLINK("https://twitter.com/globalmartin/status/1065533249080840192","1065533249080840192")</f>
        <v>1065533249080840192</v>
      </c>
      <c r="F1201" s="14" t="s">
        <v>96</v>
      </c>
      <c r="G1201" s="11"/>
      <c r="H1201" s="11"/>
      <c r="I1201" s="12">
        <v>0</v>
      </c>
      <c r="J1201" s="12">
        <v>1</v>
      </c>
      <c r="K1201" s="13" t="str">
        <f t="shared" si="248"/>
        <v>Twitter Web Client</v>
      </c>
      <c r="L1201" s="12">
        <v>1040</v>
      </c>
      <c r="M1201" s="12">
        <v>555</v>
      </c>
      <c r="N1201" s="12">
        <v>12</v>
      </c>
      <c r="O1201" s="15"/>
      <c r="P1201" s="6">
        <v>41321.40625</v>
      </c>
      <c r="Q1201" s="16" t="s">
        <v>93</v>
      </c>
      <c r="R1201" s="17" t="s">
        <v>2747</v>
      </c>
      <c r="S1201" s="14" t="s">
        <v>2748</v>
      </c>
      <c r="T1201" s="11"/>
      <c r="U1201" s="10" t="str">
        <f>HYPERLINK("https://pbs.twimg.com/profile_images/1006496269865508870/aKnkNj_5.jpg","View")</f>
        <v>View</v>
      </c>
    </row>
    <row r="1202" spans="1:21" ht="40.799999999999997">
      <c r="A1202" s="6">
        <v>43426.049560185187</v>
      </c>
      <c r="B1202" s="7" t="str">
        <f>HYPERLINK("https://twitter.com/quilombosfera","@quilombosfera")</f>
        <v>@quilombosfera</v>
      </c>
      <c r="C1202" s="8" t="s">
        <v>2749</v>
      </c>
      <c r="D1202" s="9" t="s">
        <v>2750</v>
      </c>
      <c r="E1202" s="10" t="str">
        <f>HYPERLINK("https://twitter.com/quilombosfera/status/1065533184350306306","1065533184350306306")</f>
        <v>1065533184350306306</v>
      </c>
      <c r="F1202" s="14" t="s">
        <v>96</v>
      </c>
      <c r="G1202" s="14" t="s">
        <v>2751</v>
      </c>
      <c r="H1202" s="11"/>
      <c r="I1202" s="12">
        <v>0</v>
      </c>
      <c r="J1202" s="12">
        <v>0</v>
      </c>
      <c r="K1202" s="13" t="str">
        <f t="shared" si="248"/>
        <v>Twitter Web Client</v>
      </c>
      <c r="L1202" s="12">
        <v>3088</v>
      </c>
      <c r="M1202" s="12">
        <v>2605</v>
      </c>
      <c r="N1202" s="12">
        <v>153</v>
      </c>
      <c r="O1202" s="15"/>
      <c r="P1202" s="6">
        <v>40261.415902777779</v>
      </c>
      <c r="Q1202" s="11"/>
      <c r="R1202" s="17" t="s">
        <v>2753</v>
      </c>
      <c r="S1202" s="14" t="s">
        <v>2755</v>
      </c>
      <c r="T1202" s="11"/>
      <c r="U1202" s="10" t="str">
        <f>HYPERLINK("https://pbs.twimg.com/profile_images/1062958510449811456/BLdXFyRp.jpg","View")</f>
        <v>View</v>
      </c>
    </row>
    <row r="1203" spans="1:21" ht="51">
      <c r="A1203" s="6">
        <v>43426.048726851848</v>
      </c>
      <c r="B1203" s="7" t="str">
        <f>HYPERLINK("https://twitter.com/karinasainz","@karinasainz")</f>
        <v>@karinasainz</v>
      </c>
      <c r="C1203" s="8" t="s">
        <v>6190</v>
      </c>
      <c r="D1203" s="9" t="s">
        <v>6191</v>
      </c>
      <c r="E1203" s="10" t="str">
        <f>HYPERLINK("https://twitter.com/karinasainz/status/1065532881840324608","1065532881840324608")</f>
        <v>1065532881840324608</v>
      </c>
      <c r="F1203" s="11"/>
      <c r="G1203" s="14" t="s">
        <v>6192</v>
      </c>
      <c r="H1203" s="11"/>
      <c r="I1203" s="12">
        <v>0</v>
      </c>
      <c r="J1203" s="12">
        <v>6</v>
      </c>
      <c r="K1203" s="13" t="str">
        <f>HYPERLINK("http://twitter.com/download/iphone","Twitter for iPhone")</f>
        <v>Twitter for iPhone</v>
      </c>
      <c r="L1203" s="12">
        <v>10219</v>
      </c>
      <c r="M1203" s="12">
        <v>1017</v>
      </c>
      <c r="N1203" s="12">
        <v>329</v>
      </c>
      <c r="O1203" s="15"/>
      <c r="P1203" s="6">
        <v>40040.769444444442</v>
      </c>
      <c r="Q1203" s="16" t="s">
        <v>38</v>
      </c>
      <c r="R1203" s="17" t="s">
        <v>6193</v>
      </c>
      <c r="S1203" s="11"/>
      <c r="T1203" s="11"/>
      <c r="U1203" s="10" t="str">
        <f>HYPERLINK("https://pbs.twimg.com/profile_images/1050516183525584896/-42aSpJT.jpg","View")</f>
        <v>View</v>
      </c>
    </row>
    <row r="1204" spans="1:21" ht="51">
      <c r="A1204" s="6">
        <v>43426.048692129625</v>
      </c>
      <c r="B1204" s="7" t="str">
        <f>HYPERLINK("https://twitter.com/Alleriene","@Alleriene")</f>
        <v>@Alleriene</v>
      </c>
      <c r="C1204" s="8" t="s">
        <v>6194</v>
      </c>
      <c r="D1204" s="9" t="s">
        <v>6195</v>
      </c>
      <c r="E1204" s="10" t="str">
        <f>HYPERLINK("https://twitter.com/Alleriene/status/1065532870557687808","1065532870557687808")</f>
        <v>1065532870557687808</v>
      </c>
      <c r="F1204" s="11"/>
      <c r="G1204" s="14" t="s">
        <v>2770</v>
      </c>
      <c r="H1204" s="11"/>
      <c r="I1204" s="12">
        <v>0</v>
      </c>
      <c r="J1204" s="12">
        <v>0</v>
      </c>
      <c r="K1204" s="13" t="str">
        <f>HYPERLINK("https://ifttt.com","IFTTT")</f>
        <v>IFTTT</v>
      </c>
      <c r="L1204" s="12">
        <v>1532</v>
      </c>
      <c r="M1204" s="12">
        <v>4796</v>
      </c>
      <c r="N1204" s="12">
        <v>3</v>
      </c>
      <c r="O1204" s="15"/>
      <c r="P1204" s="6">
        <v>42249.900474537033</v>
      </c>
      <c r="Q1204" s="16" t="s">
        <v>256</v>
      </c>
      <c r="R1204" s="17" t="s">
        <v>6196</v>
      </c>
      <c r="S1204" s="11"/>
      <c r="T1204" s="11"/>
      <c r="U1204" s="10" t="str">
        <f>HYPERLINK("https://pbs.twimg.com/profile_images/639296320503681024/LDjHWw_q.jpg","View")</f>
        <v>View</v>
      </c>
    </row>
    <row r="1205" spans="1:21" ht="40.799999999999997">
      <c r="A1205" s="6">
        <v>43426.048032407409</v>
      </c>
      <c r="B1205" s="7" t="str">
        <f>HYPERLINK("https://twitter.com/proyectocosme","@proyectocosme")</f>
        <v>@proyectocosme</v>
      </c>
      <c r="C1205" s="8" t="s">
        <v>6197</v>
      </c>
      <c r="D1205" s="9" t="s">
        <v>768</v>
      </c>
      <c r="E1205" s="10" t="str">
        <f>HYPERLINK("https://twitter.com/proyectocosme/status/1065532631843069952","1065532631843069952")</f>
        <v>1065532631843069952</v>
      </c>
      <c r="F1205" s="14" t="s">
        <v>529</v>
      </c>
      <c r="G1205" s="11"/>
      <c r="H1205" s="11"/>
      <c r="I1205" s="12">
        <v>0</v>
      </c>
      <c r="J1205" s="12">
        <v>0</v>
      </c>
      <c r="K1205" s="13" t="str">
        <f t="shared" ref="K1205:K1206" si="249">HYPERLINK("http://twitter.com","Twitter Web Client")</f>
        <v>Twitter Web Client</v>
      </c>
      <c r="L1205" s="12">
        <v>2021</v>
      </c>
      <c r="M1205" s="12">
        <v>1826</v>
      </c>
      <c r="N1205" s="12">
        <v>24</v>
      </c>
      <c r="O1205" s="15"/>
      <c r="P1205" s="6">
        <v>41270.13144675926</v>
      </c>
      <c r="Q1205" s="16" t="s">
        <v>28</v>
      </c>
      <c r="R1205" s="17" t="s">
        <v>6198</v>
      </c>
      <c r="S1205" s="14" t="s">
        <v>6199</v>
      </c>
      <c r="T1205" s="11"/>
      <c r="U1205" s="10" t="str">
        <f>HYPERLINK("https://pbs.twimg.com/profile_images/749922193254080513/8fRo8fIL.jpg","View")</f>
        <v>View</v>
      </c>
    </row>
    <row r="1206" spans="1:21" ht="30.6">
      <c r="A1206" s="6">
        <v>43426.047905092593</v>
      </c>
      <c r="B1206" s="7" t="str">
        <f>HYPERLINK("https://twitter.com/daviddomingosa2","@daviddomingosa2")</f>
        <v>@daviddomingosa2</v>
      </c>
      <c r="C1206" s="8" t="s">
        <v>6200</v>
      </c>
      <c r="D1206" s="9" t="s">
        <v>6201</v>
      </c>
      <c r="E1206" s="10" t="str">
        <f>HYPERLINK("https://twitter.com/daviddomingosa2/status/1065532583637860352","1065532583637860352")</f>
        <v>1065532583637860352</v>
      </c>
      <c r="F1206" s="14" t="s">
        <v>529</v>
      </c>
      <c r="G1206" s="11"/>
      <c r="H1206" s="11"/>
      <c r="I1206" s="12">
        <v>1</v>
      </c>
      <c r="J1206" s="12">
        <v>0</v>
      </c>
      <c r="K1206" s="13" t="str">
        <f t="shared" si="249"/>
        <v>Twitter Web Client</v>
      </c>
      <c r="L1206" s="12">
        <v>1452</v>
      </c>
      <c r="M1206" s="12">
        <v>993</v>
      </c>
      <c r="N1206" s="12">
        <v>39</v>
      </c>
      <c r="O1206" s="15"/>
      <c r="P1206" s="6">
        <v>42293.426180555558</v>
      </c>
      <c r="Q1206" s="16" t="s">
        <v>6202</v>
      </c>
      <c r="R1206" s="17" t="s">
        <v>6203</v>
      </c>
      <c r="S1206" s="14" t="s">
        <v>6204</v>
      </c>
      <c r="T1206" s="11"/>
      <c r="U1206" s="10" t="str">
        <f>HYPERLINK("https://pbs.twimg.com/profile_images/713410971646173184/l9g8fz9r.jpg","View")</f>
        <v>View</v>
      </c>
    </row>
    <row r="1207" spans="1:21" ht="81.599999999999994">
      <c r="A1207" s="6">
        <v>43426.04788194444</v>
      </c>
      <c r="B1207" s="7" t="str">
        <f>HYPERLINK("https://twitter.com/toteshosom","@toteshosom")</f>
        <v>@toteshosom</v>
      </c>
      <c r="C1207" s="8" t="s">
        <v>2757</v>
      </c>
      <c r="D1207" s="9" t="s">
        <v>2760</v>
      </c>
      <c r="E1207" s="10" t="str">
        <f>HYPERLINK("https://twitter.com/toteshosom/status/1065532577350631425","1065532577350631425")</f>
        <v>1065532577350631425</v>
      </c>
      <c r="F1207" s="16" t="s">
        <v>2762</v>
      </c>
      <c r="G1207" s="11"/>
      <c r="H1207" s="11"/>
      <c r="I1207" s="12">
        <v>0</v>
      </c>
      <c r="J1207" s="12">
        <v>0</v>
      </c>
      <c r="K1207" s="13" t="str">
        <f>HYPERLINK("http://twitter.com/download/iphone","Twitter for iPhone")</f>
        <v>Twitter for iPhone</v>
      </c>
      <c r="L1207" s="12">
        <v>128</v>
      </c>
      <c r="M1207" s="12">
        <v>110</v>
      </c>
      <c r="N1207" s="12">
        <v>2</v>
      </c>
      <c r="O1207" s="15"/>
      <c r="P1207" s="6">
        <v>41606.060057870374</v>
      </c>
      <c r="Q1207" s="11"/>
      <c r="R1207" s="17" t="s">
        <v>2763</v>
      </c>
      <c r="S1207" s="11"/>
      <c r="T1207" s="11"/>
      <c r="U1207" s="10" t="str">
        <f>HYPERLINK("https://pbs.twimg.com/profile_images/939947906416676864/RRt_DCpM.jpg","View")</f>
        <v>View</v>
      </c>
    </row>
    <row r="1208" spans="1:21" ht="40.799999999999997">
      <c r="A1208" s="6">
        <v>43426.047673611116</v>
      </c>
      <c r="B1208" s="7" t="str">
        <f>HYPERLINK("https://twitter.com/nicolasdepedro","@nicolasdepedro")</f>
        <v>@nicolasdepedro</v>
      </c>
      <c r="C1208" s="8" t="s">
        <v>6205</v>
      </c>
      <c r="D1208" s="9" t="s">
        <v>6206</v>
      </c>
      <c r="E1208" s="10" t="str">
        <f>HYPERLINK("https://twitter.com/nicolasdepedro/status/1065532499093274625","1065532499093274625")</f>
        <v>1065532499093274625</v>
      </c>
      <c r="F1208" s="14" t="s">
        <v>96</v>
      </c>
      <c r="G1208" s="11"/>
      <c r="H1208" s="11"/>
      <c r="I1208" s="12">
        <v>1</v>
      </c>
      <c r="J1208" s="12">
        <v>0</v>
      </c>
      <c r="K1208" s="13" t="str">
        <f>HYPERLINK("http://twitter.com","Twitter Web Client")</f>
        <v>Twitter Web Client</v>
      </c>
      <c r="L1208" s="12">
        <v>3004</v>
      </c>
      <c r="M1208" s="12">
        <v>1391</v>
      </c>
      <c r="N1208" s="12">
        <v>168</v>
      </c>
      <c r="O1208" s="15"/>
      <c r="P1208" s="6">
        <v>40723.230925925927</v>
      </c>
      <c r="Q1208" s="16" t="s">
        <v>6207</v>
      </c>
      <c r="R1208" s="17" t="s">
        <v>6208</v>
      </c>
      <c r="S1208" s="14" t="s">
        <v>6209</v>
      </c>
      <c r="T1208" s="11"/>
      <c r="U1208" s="10" t="str">
        <f>HYPERLINK("https://pbs.twimg.com/profile_images/528464172741181440/bxMveLAW.jpeg","View")</f>
        <v>View</v>
      </c>
    </row>
    <row r="1209" spans="1:21" ht="51">
      <c r="A1209" s="6">
        <v>43426.047465277778</v>
      </c>
      <c r="B1209" s="7" t="str">
        <f>HYPERLINK("https://twitter.com/podem_cat","@podem_cat")</f>
        <v>@podem_cat</v>
      </c>
      <c r="C1209" s="8" t="s">
        <v>2768</v>
      </c>
      <c r="D1209" s="9" t="s">
        <v>2769</v>
      </c>
      <c r="E1209" s="10" t="str">
        <f>HYPERLINK("https://twitter.com/podem_cat/status/1065532423696498688","1065532423696498688")</f>
        <v>1065532423696498688</v>
      </c>
      <c r="F1209" s="14" t="s">
        <v>96</v>
      </c>
      <c r="G1209" s="14" t="s">
        <v>2770</v>
      </c>
      <c r="H1209" s="11"/>
      <c r="I1209" s="12">
        <v>14</v>
      </c>
      <c r="J1209" s="12">
        <v>18</v>
      </c>
      <c r="K1209" s="13" t="str">
        <f>HYPERLINK("http://twitter.com/download/iphone","Twitter for iPhone")</f>
        <v>Twitter for iPhone</v>
      </c>
      <c r="L1209" s="12">
        <v>18533</v>
      </c>
      <c r="M1209" s="12">
        <v>1032</v>
      </c>
      <c r="N1209" s="12">
        <v>225</v>
      </c>
      <c r="O1209" s="18" t="s">
        <v>52</v>
      </c>
      <c r="P1209" s="6">
        <v>41658.309861111113</v>
      </c>
      <c r="Q1209" s="16" t="s">
        <v>833</v>
      </c>
      <c r="R1209" s="17" t="s">
        <v>2773</v>
      </c>
      <c r="S1209" s="14" t="s">
        <v>2774</v>
      </c>
      <c r="T1209" s="11"/>
      <c r="U1209" s="10" t="str">
        <f>HYPERLINK("https://pbs.twimg.com/profile_images/1013721328837414913/MYKoIiSF.jpg","View")</f>
        <v>View</v>
      </c>
    </row>
    <row r="1210" spans="1:21" ht="40.799999999999997">
      <c r="A1210" s="6">
        <v>43426.0472337963</v>
      </c>
      <c r="B1210" s="7" t="str">
        <f>HYPERLINK("https://twitter.com/orejatenta","@orejatenta")</f>
        <v>@orejatenta</v>
      </c>
      <c r="C1210" s="8" t="s">
        <v>6211</v>
      </c>
      <c r="D1210" s="9" t="s">
        <v>768</v>
      </c>
      <c r="E1210" s="10" t="str">
        <f>HYPERLINK("https://twitter.com/orejatenta/status/1065532343480393728","1065532343480393728")</f>
        <v>1065532343480393728</v>
      </c>
      <c r="F1210" s="14" t="s">
        <v>529</v>
      </c>
      <c r="G1210" s="11"/>
      <c r="H1210" s="11"/>
      <c r="I1210" s="12">
        <v>0</v>
      </c>
      <c r="J1210" s="12">
        <v>0</v>
      </c>
      <c r="K1210" s="13" t="str">
        <f t="shared" ref="K1210:K1212" si="250">HYPERLINK("http://twitter.com","Twitter Web Client")</f>
        <v>Twitter Web Client</v>
      </c>
      <c r="L1210" s="12">
        <v>387</v>
      </c>
      <c r="M1210" s="12">
        <v>951</v>
      </c>
      <c r="N1210" s="12">
        <v>3</v>
      </c>
      <c r="O1210" s="15"/>
      <c r="P1210" s="6">
        <v>41697.288032407407</v>
      </c>
      <c r="Q1210" s="11"/>
      <c r="R1210" s="17" t="s">
        <v>6212</v>
      </c>
      <c r="S1210" s="11"/>
      <c r="T1210" s="11"/>
      <c r="U1210" s="10" t="str">
        <f>HYPERLINK("https://pbs.twimg.com/profile_images/1022458069006131200/gMnOmSoZ.jpg","View")</f>
        <v>View</v>
      </c>
    </row>
    <row r="1211" spans="1:21" ht="51">
      <c r="A1211" s="6">
        <v>43426.046631944446</v>
      </c>
      <c r="B1211" s="7" t="str">
        <f>HYPERLINK("https://twitter.com/GeorginaTramont","@GeorginaTramont")</f>
        <v>@GeorginaTramont</v>
      </c>
      <c r="C1211" s="8" t="s">
        <v>2777</v>
      </c>
      <c r="D1211" s="9" t="s">
        <v>2778</v>
      </c>
      <c r="E1211" s="10" t="str">
        <f>HYPERLINK("https://twitter.com/GeorginaTramont/status/1065532122738450433","1065532122738450433")</f>
        <v>1065532122738450433</v>
      </c>
      <c r="F1211" s="11"/>
      <c r="G1211" s="14" t="s">
        <v>2779</v>
      </c>
      <c r="H1211" s="11"/>
      <c r="I1211" s="12">
        <v>0</v>
      </c>
      <c r="J1211" s="12">
        <v>0</v>
      </c>
      <c r="K1211" s="13" t="str">
        <f t="shared" si="250"/>
        <v>Twitter Web Client</v>
      </c>
      <c r="L1211" s="12">
        <v>231</v>
      </c>
      <c r="M1211" s="12">
        <v>364</v>
      </c>
      <c r="N1211" s="12">
        <v>3</v>
      </c>
      <c r="O1211" s="15"/>
      <c r="P1211" s="6">
        <v>41862.992523148147</v>
      </c>
      <c r="Q1211" s="16" t="s">
        <v>2781</v>
      </c>
      <c r="R1211" s="17" t="s">
        <v>2782</v>
      </c>
      <c r="S1211" s="11"/>
      <c r="T1211" s="11"/>
      <c r="U1211" s="10" t="str">
        <f>HYPERLINK("https://pbs.twimg.com/profile_images/697864587560009728/2aAdLafI.png","View")</f>
        <v>View</v>
      </c>
    </row>
    <row r="1212" spans="1:21" ht="40.799999999999997">
      <c r="A1212" s="6">
        <v>43426.046041666668</v>
      </c>
      <c r="B1212" s="7" t="str">
        <f>HYPERLINK("https://twitter.com/Sara_MonteroM","@Sara_MonteroM")</f>
        <v>@Sara_MonteroM</v>
      </c>
      <c r="C1212" s="8" t="s">
        <v>6216</v>
      </c>
      <c r="D1212" s="9" t="s">
        <v>6217</v>
      </c>
      <c r="E1212" s="10" t="str">
        <f>HYPERLINK("https://twitter.com/Sara_MonteroM/status/1065531910137528322","1065531910137528322")</f>
        <v>1065531910137528322</v>
      </c>
      <c r="F1212" s="14" t="s">
        <v>6218</v>
      </c>
      <c r="G1212" s="11"/>
      <c r="H1212" s="11"/>
      <c r="I1212" s="12">
        <v>6</v>
      </c>
      <c r="J1212" s="12">
        <v>5</v>
      </c>
      <c r="K1212" s="13" t="str">
        <f t="shared" si="250"/>
        <v>Twitter Web Client</v>
      </c>
      <c r="L1212" s="12">
        <v>2381</v>
      </c>
      <c r="M1212" s="12">
        <v>1139</v>
      </c>
      <c r="N1212" s="12">
        <v>124</v>
      </c>
      <c r="O1212" s="15"/>
      <c r="P1212" s="6">
        <v>40593.48810185185</v>
      </c>
      <c r="Q1212" s="16" t="s">
        <v>38</v>
      </c>
      <c r="R1212" s="17" t="s">
        <v>6219</v>
      </c>
      <c r="S1212" s="11"/>
      <c r="T1212" s="11"/>
      <c r="U1212" s="10" t="str">
        <f>HYPERLINK("https://pbs.twimg.com/profile_images/935982547590316037/j643Q__s.jpg","View")</f>
        <v>View</v>
      </c>
    </row>
    <row r="1213" spans="1:21" ht="81.599999999999994">
      <c r="A1213" s="6">
        <v>43426.045960648145</v>
      </c>
      <c r="B1213" s="7" t="str">
        <f>HYPERLINK("https://twitter.com/Kingofmadness_","@Kingofmadness_")</f>
        <v>@Kingofmadness_</v>
      </c>
      <c r="C1213" s="8" t="s">
        <v>2785</v>
      </c>
      <c r="D1213" s="9" t="s">
        <v>2786</v>
      </c>
      <c r="E1213" s="10" t="str">
        <f>HYPERLINK("https://twitter.com/Kingofmadness_/status/1065531879355531264","1065531879355531264")</f>
        <v>1065531879355531264</v>
      </c>
      <c r="F1213" s="16" t="s">
        <v>2787</v>
      </c>
      <c r="G1213" s="11"/>
      <c r="H1213" s="11"/>
      <c r="I1213" s="12">
        <v>0</v>
      </c>
      <c r="J1213" s="12">
        <v>0</v>
      </c>
      <c r="K1213" s="13" t="str">
        <f>HYPERLINK("https://mobile.twitter.com","Twitter Lite")</f>
        <v>Twitter Lite</v>
      </c>
      <c r="L1213" s="12">
        <v>52</v>
      </c>
      <c r="M1213" s="12">
        <v>239</v>
      </c>
      <c r="N1213" s="12">
        <v>0</v>
      </c>
      <c r="O1213" s="15"/>
      <c r="P1213" s="6">
        <v>43148.366608796292</v>
      </c>
      <c r="Q1213" s="11"/>
      <c r="R1213" s="17" t="s">
        <v>2789</v>
      </c>
      <c r="S1213" s="14" t="s">
        <v>2790</v>
      </c>
      <c r="T1213" s="11"/>
      <c r="U1213" s="10" t="str">
        <f>HYPERLINK("https://pbs.twimg.com/profile_images/1057667593685921792/P7TJ8OTa.jpg","View")</f>
        <v>View</v>
      </c>
    </row>
    <row r="1214" spans="1:21" ht="51">
      <c r="A1214" s="6">
        <v>43426.045011574075</v>
      </c>
      <c r="B1214" s="7" t="str">
        <f>HYPERLINK("https://twitter.com/margpuig","@margpuig")</f>
        <v>@margpuig</v>
      </c>
      <c r="C1214" s="8" t="s">
        <v>2792</v>
      </c>
      <c r="D1214" s="9" t="s">
        <v>2793</v>
      </c>
      <c r="E1214" s="10" t="str">
        <f>HYPERLINK("https://twitter.com/margpuig/status/1065531534843813888","1065531534843813888")</f>
        <v>1065531534843813888</v>
      </c>
      <c r="F1214" s="14" t="s">
        <v>2796</v>
      </c>
      <c r="G1214" s="11"/>
      <c r="H1214" s="11"/>
      <c r="I1214" s="12">
        <v>2</v>
      </c>
      <c r="J1214" s="12">
        <v>6</v>
      </c>
      <c r="K1214" s="13" t="str">
        <f>HYPERLINK("http://twitter.com/download/iphone","Twitter for iPhone")</f>
        <v>Twitter for iPhone</v>
      </c>
      <c r="L1214" s="12">
        <v>3020</v>
      </c>
      <c r="M1214" s="12">
        <v>1771</v>
      </c>
      <c r="N1214" s="12">
        <v>75</v>
      </c>
      <c r="O1214" s="18" t="s">
        <v>52</v>
      </c>
      <c r="P1214" s="6">
        <v>41987.5465162037</v>
      </c>
      <c r="Q1214" s="16" t="s">
        <v>256</v>
      </c>
      <c r="R1214" s="17" t="s">
        <v>2798</v>
      </c>
      <c r="S1214" s="11"/>
      <c r="T1214" s="11"/>
      <c r="U1214" s="10" t="str">
        <f>HYPERLINK("https://pbs.twimg.com/profile_images/905417042777559041/JLt809c6.jpg","View")</f>
        <v>View</v>
      </c>
    </row>
    <row r="1215" spans="1:21" ht="30.6">
      <c r="A1215" s="6">
        <v>43426.044849537036</v>
      </c>
      <c r="B1215" s="7" t="str">
        <f>HYPERLINK("https://twitter.com/Don_Erreqerre","@Don_Erreqerre")</f>
        <v>@Don_Erreqerre</v>
      </c>
      <c r="C1215" s="8" t="s">
        <v>2799</v>
      </c>
      <c r="D1215" s="9" t="s">
        <v>2800</v>
      </c>
      <c r="E1215" s="10" t="str">
        <f>HYPERLINK("https://twitter.com/Don_Erreqerre/status/1065531479281799168","1065531479281799168")</f>
        <v>1065531479281799168</v>
      </c>
      <c r="F1215" s="11"/>
      <c r="G1215" s="14" t="s">
        <v>2801</v>
      </c>
      <c r="H1215" s="11"/>
      <c r="I1215" s="12">
        <v>1</v>
      </c>
      <c r="J1215" s="12">
        <v>2</v>
      </c>
      <c r="K1215" s="13" t="str">
        <f t="shared" ref="K1215:K1216" si="251">HYPERLINK("http://twitter.com/download/android","Twitter for Android")</f>
        <v>Twitter for Android</v>
      </c>
      <c r="L1215" s="12">
        <v>1336</v>
      </c>
      <c r="M1215" s="12">
        <v>1918</v>
      </c>
      <c r="N1215" s="12">
        <v>17</v>
      </c>
      <c r="O1215" s="15"/>
      <c r="P1215" s="6">
        <v>42583.258506944447</v>
      </c>
      <c r="Q1215" s="11"/>
      <c r="R1215" s="17" t="s">
        <v>2802</v>
      </c>
      <c r="S1215" s="11"/>
      <c r="T1215" s="11"/>
      <c r="U1215" s="10" t="str">
        <f>HYPERLINK("https://pbs.twimg.com/profile_images/922104917715832832/tKwzmJac.jpg","View")</f>
        <v>View</v>
      </c>
    </row>
    <row r="1216" spans="1:21" ht="40.799999999999997">
      <c r="A1216" s="6">
        <v>43426.044710648144</v>
      </c>
      <c r="B1216" s="7" t="str">
        <f>HYPERLINK("https://twitter.com/luigiaguilar","@luigiaguilar")</f>
        <v>@luigiaguilar</v>
      </c>
      <c r="C1216" s="8" t="s">
        <v>2803</v>
      </c>
      <c r="D1216" s="9" t="s">
        <v>2804</v>
      </c>
      <c r="E1216" s="10" t="str">
        <f>HYPERLINK("https://twitter.com/luigiaguilar/status/1065531426584649728","1065531426584649728")</f>
        <v>1065531426584649728</v>
      </c>
      <c r="F1216" s="14" t="s">
        <v>96</v>
      </c>
      <c r="G1216" s="14" t="s">
        <v>2805</v>
      </c>
      <c r="H1216" s="11"/>
      <c r="I1216" s="12">
        <v>23</v>
      </c>
      <c r="J1216" s="12">
        <v>22</v>
      </c>
      <c r="K1216" s="13" t="str">
        <f t="shared" si="251"/>
        <v>Twitter for Android</v>
      </c>
      <c r="L1216" s="12">
        <v>39202</v>
      </c>
      <c r="M1216" s="12">
        <v>32812</v>
      </c>
      <c r="N1216" s="12">
        <v>199</v>
      </c>
      <c r="O1216" s="15"/>
      <c r="P1216" s="6">
        <v>39985.667592592596</v>
      </c>
      <c r="Q1216" s="16" t="s">
        <v>2806</v>
      </c>
      <c r="R1216" s="17" t="s">
        <v>2807</v>
      </c>
      <c r="S1216" s="14" t="s">
        <v>2808</v>
      </c>
      <c r="T1216" s="11"/>
      <c r="U1216" s="10" t="str">
        <f>HYPERLINK("https://pbs.twimg.com/profile_images/1010513492133244928/kgQzFk57.jpg","View")</f>
        <v>View</v>
      </c>
    </row>
    <row r="1217" spans="1:21" ht="20.399999999999999">
      <c r="A1217" s="6">
        <v>43426.044398148151</v>
      </c>
      <c r="B1217" s="7" t="str">
        <f>HYPERLINK("https://twitter.com/morafiot","@morafiot")</f>
        <v>@morafiot</v>
      </c>
      <c r="C1217" s="8" t="s">
        <v>6220</v>
      </c>
      <c r="D1217" s="9" t="s">
        <v>6221</v>
      </c>
      <c r="E1217" s="10" t="str">
        <f>HYPERLINK("https://twitter.com/morafiot/status/1065531312080121857","1065531312080121857")</f>
        <v>1065531312080121857</v>
      </c>
      <c r="F1217" s="14" t="s">
        <v>529</v>
      </c>
      <c r="G1217" s="11"/>
      <c r="H1217" s="11"/>
      <c r="I1217" s="12">
        <v>0</v>
      </c>
      <c r="J1217" s="12">
        <v>0</v>
      </c>
      <c r="K1217" s="13" t="str">
        <f t="shared" ref="K1217:K1219" si="252">HYPERLINK("http://twitter.com","Twitter Web Client")</f>
        <v>Twitter Web Client</v>
      </c>
      <c r="L1217" s="12">
        <v>183</v>
      </c>
      <c r="M1217" s="12">
        <v>962</v>
      </c>
      <c r="N1217" s="12">
        <v>4</v>
      </c>
      <c r="O1217" s="15"/>
      <c r="P1217" s="6">
        <v>42389.019050925926</v>
      </c>
      <c r="Q1217" s="16" t="s">
        <v>6222</v>
      </c>
      <c r="R1217" s="17" t="s">
        <v>6223</v>
      </c>
      <c r="S1217" s="11"/>
      <c r="T1217" s="11"/>
      <c r="U1217" s="10" t="str">
        <f>HYPERLINK("https://pbs.twimg.com/profile_images/1029321034762276869/JShprxF7.jpg","View")</f>
        <v>View</v>
      </c>
    </row>
    <row r="1218" spans="1:21" ht="20.399999999999999">
      <c r="A1218" s="6">
        <v>43426.044282407413</v>
      </c>
      <c r="B1218" s="7" t="str">
        <f>HYPERLINK("https://twitter.com/PaolaLoCascio","@PaolaLoCascio")</f>
        <v>@PaolaLoCascio</v>
      </c>
      <c r="C1218" s="8" t="s">
        <v>6224</v>
      </c>
      <c r="D1218" s="9" t="s">
        <v>768</v>
      </c>
      <c r="E1218" s="10" t="str">
        <f>HYPERLINK("https://twitter.com/PaolaLoCascio/status/1065531271617613825","1065531271617613825")</f>
        <v>1065531271617613825</v>
      </c>
      <c r="F1218" s="14" t="s">
        <v>529</v>
      </c>
      <c r="G1218" s="11"/>
      <c r="H1218" s="11"/>
      <c r="I1218" s="12">
        <v>0</v>
      </c>
      <c r="J1218" s="12">
        <v>0</v>
      </c>
      <c r="K1218" s="13" t="str">
        <f t="shared" si="252"/>
        <v>Twitter Web Client</v>
      </c>
      <c r="L1218" s="12">
        <v>2301</v>
      </c>
      <c r="M1218" s="12">
        <v>663</v>
      </c>
      <c r="N1218" s="12">
        <v>47</v>
      </c>
      <c r="O1218" s="15"/>
      <c r="P1218" s="6">
        <v>40830.55164351852</v>
      </c>
      <c r="Q1218" s="11"/>
      <c r="R1218" s="17" t="s">
        <v>6225</v>
      </c>
      <c r="S1218" s="11"/>
      <c r="T1218" s="11"/>
      <c r="U1218" s="10" t="str">
        <f>HYPERLINK("https://pbs.twimg.com/profile_images/411804054411411456/8pt5fEsH.jpeg","View")</f>
        <v>View</v>
      </c>
    </row>
    <row r="1219" spans="1:21" ht="51">
      <c r="A1219" s="6">
        <v>43426.044027777782</v>
      </c>
      <c r="B1219" s="7" t="str">
        <f>HYPERLINK("https://twitter.com/Podemosnavarra","@Podemosnavarra")</f>
        <v>@Podemosnavarra</v>
      </c>
      <c r="C1219" s="8" t="s">
        <v>2811</v>
      </c>
      <c r="D1219" s="9" t="s">
        <v>2812</v>
      </c>
      <c r="E1219" s="10" t="str">
        <f>HYPERLINK("https://twitter.com/Podemosnavarra/status/1065531180420743168","1065531180420743168")</f>
        <v>1065531180420743168</v>
      </c>
      <c r="F1219" s="14" t="s">
        <v>96</v>
      </c>
      <c r="G1219" s="11"/>
      <c r="H1219" s="11"/>
      <c r="I1219" s="12">
        <v>0</v>
      </c>
      <c r="J1219" s="12">
        <v>1</v>
      </c>
      <c r="K1219" s="13" t="str">
        <f t="shared" si="252"/>
        <v>Twitter Web Client</v>
      </c>
      <c r="L1219" s="12">
        <v>7813</v>
      </c>
      <c r="M1219" s="12">
        <v>1118</v>
      </c>
      <c r="N1219" s="12">
        <v>146</v>
      </c>
      <c r="O1219" s="18" t="s">
        <v>52</v>
      </c>
      <c r="P1219" s="6">
        <v>41702.154328703706</v>
      </c>
      <c r="Q1219" s="16" t="s">
        <v>2814</v>
      </c>
      <c r="R1219" s="17" t="s">
        <v>2815</v>
      </c>
      <c r="S1219" s="14" t="s">
        <v>2816</v>
      </c>
      <c r="T1219" s="11"/>
      <c r="U1219" s="10" t="str">
        <f>HYPERLINK("https://pbs.twimg.com/profile_images/1055413527891099648/SPvFm_A6.jpg","View")</f>
        <v>View</v>
      </c>
    </row>
    <row r="1220" spans="1:21" ht="40.799999999999997">
      <c r="A1220" s="6">
        <v>43426.043078703704</v>
      </c>
      <c r="B1220" s="7" t="str">
        <f>HYPERLINK("https://twitter.com/alonso_aparicio","@alonso_aparicio")</f>
        <v>@alonso_aparicio</v>
      </c>
      <c r="C1220" s="8" t="s">
        <v>6226</v>
      </c>
      <c r="D1220" s="9" t="s">
        <v>6227</v>
      </c>
      <c r="E1220" s="10" t="str">
        <f>HYPERLINK("https://twitter.com/alonso_aparicio/status/1065530834525007872","1065530834525007872")</f>
        <v>1065530834525007872</v>
      </c>
      <c r="F1220" s="14" t="s">
        <v>96</v>
      </c>
      <c r="G1220" s="11"/>
      <c r="H1220" s="11"/>
      <c r="I1220" s="12">
        <v>0</v>
      </c>
      <c r="J1220" s="12">
        <v>0</v>
      </c>
      <c r="K1220" s="13" t="str">
        <f>HYPERLINK("http://twitter.com/download/iphone","Twitter for iPhone")</f>
        <v>Twitter for iPhone</v>
      </c>
      <c r="L1220" s="12">
        <v>922</v>
      </c>
      <c r="M1220" s="12">
        <v>738</v>
      </c>
      <c r="N1220" s="12">
        <v>34</v>
      </c>
      <c r="O1220" s="15"/>
      <c r="P1220" s="6">
        <v>40889.065034722225</v>
      </c>
      <c r="Q1220" s="16" t="s">
        <v>6228</v>
      </c>
      <c r="R1220" s="17" t="s">
        <v>6229</v>
      </c>
      <c r="S1220" s="11"/>
      <c r="T1220" s="11"/>
      <c r="U1220" s="10" t="str">
        <f>HYPERLINK("https://pbs.twimg.com/profile_images/945649159939481601/8oGdlByT.jpg","View")</f>
        <v>View</v>
      </c>
    </row>
    <row r="1221" spans="1:21" ht="40.799999999999997">
      <c r="A1221" s="6">
        <v>43426.042395833334</v>
      </c>
      <c r="B1221" s="7" t="str">
        <f>HYPERLINK("https://twitter.com/PodemosParla2Tw","@PodemosParla2Tw")</f>
        <v>@PodemosParla2Tw</v>
      </c>
      <c r="C1221" s="8" t="s">
        <v>2819</v>
      </c>
      <c r="D1221" s="9" t="s">
        <v>2820</v>
      </c>
      <c r="E1221" s="10" t="str">
        <f>HYPERLINK("https://twitter.com/PodemosParla2Tw/status/1065530590135533568","1065530590135533568")</f>
        <v>1065530590135533568</v>
      </c>
      <c r="F1221" s="16" t="s">
        <v>2821</v>
      </c>
      <c r="G1221" s="14" t="s">
        <v>2822</v>
      </c>
      <c r="H1221" s="11"/>
      <c r="I1221" s="12">
        <v>1</v>
      </c>
      <c r="J1221" s="12">
        <v>1</v>
      </c>
      <c r="K1221" s="13" t="str">
        <f>HYPERLINK("https://buffer.com","Buffer")</f>
        <v>Buffer</v>
      </c>
      <c r="L1221" s="12">
        <v>868</v>
      </c>
      <c r="M1221" s="12">
        <v>1068</v>
      </c>
      <c r="N1221" s="12">
        <v>12</v>
      </c>
      <c r="O1221" s="15"/>
      <c r="P1221" s="6">
        <v>42311.518020833333</v>
      </c>
      <c r="Q1221" s="16" t="s">
        <v>2825</v>
      </c>
      <c r="R1221" s="17" t="s">
        <v>2826</v>
      </c>
      <c r="S1221" s="14" t="s">
        <v>2489</v>
      </c>
      <c r="T1221" s="11"/>
      <c r="U1221" s="10" t="str">
        <f>HYPERLINK("https://pbs.twimg.com/profile_images/1012456597115850752/7fJqeRBF.jpg","View")</f>
        <v>View</v>
      </c>
    </row>
    <row r="1222" spans="1:21" ht="91.8">
      <c r="A1222" s="6">
        <v>43426.042361111111</v>
      </c>
      <c r="B1222" s="7" t="str">
        <f>HYPERLINK("https://twitter.com/LaetitiaMoon","@LaetitiaMoon")</f>
        <v>@LaetitiaMoon</v>
      </c>
      <c r="C1222" s="8" t="s">
        <v>6230</v>
      </c>
      <c r="D1222" s="9" t="s">
        <v>6231</v>
      </c>
      <c r="E1222" s="10" t="str">
        <f>HYPERLINK("https://twitter.com/LaetitiaMoon/status/1065530575522578432","1065530575522578432")</f>
        <v>1065530575522578432</v>
      </c>
      <c r="F1222" s="14" t="s">
        <v>6232</v>
      </c>
      <c r="G1222" s="11"/>
      <c r="H1222" s="11"/>
      <c r="I1222" s="12">
        <v>0</v>
      </c>
      <c r="J1222" s="12">
        <v>0</v>
      </c>
      <c r="K1222" s="13" t="str">
        <f>HYPERLINK("http://twitter.com/download/iphone","Twitter for iPhone")</f>
        <v>Twitter for iPhone</v>
      </c>
      <c r="L1222" s="12">
        <v>384</v>
      </c>
      <c r="M1222" s="12">
        <v>295</v>
      </c>
      <c r="N1222" s="12">
        <v>4</v>
      </c>
      <c r="O1222" s="15"/>
      <c r="P1222" s="6">
        <v>40855.548495370371</v>
      </c>
      <c r="Q1222" s="16" t="s">
        <v>6233</v>
      </c>
      <c r="R1222" s="17" t="s">
        <v>6234</v>
      </c>
      <c r="S1222" s="14" t="s">
        <v>6235</v>
      </c>
      <c r="T1222" s="11"/>
      <c r="U1222" s="10" t="str">
        <f>HYPERLINK("https://pbs.twimg.com/profile_images/1031587445220036608/XNCyF5Io.jpg","View")</f>
        <v>View</v>
      </c>
    </row>
    <row r="1223" spans="1:21" ht="102">
      <c r="A1223" s="6">
        <v>43426.041956018518</v>
      </c>
      <c r="B1223" s="7" t="str">
        <f>HYPERLINK("https://twitter.com/nostradamu75","@nostradamu75")</f>
        <v>@nostradamu75</v>
      </c>
      <c r="C1223" s="8" t="s">
        <v>2828</v>
      </c>
      <c r="D1223" s="9" t="s">
        <v>2829</v>
      </c>
      <c r="E1223" s="10" t="str">
        <f>HYPERLINK("https://twitter.com/nostradamu75/status/1065530428038307841","1065530428038307841")</f>
        <v>1065530428038307841</v>
      </c>
      <c r="F1223" s="16" t="s">
        <v>1078</v>
      </c>
      <c r="G1223" s="11"/>
      <c r="H1223" s="11"/>
      <c r="I1223" s="12">
        <v>1</v>
      </c>
      <c r="J1223" s="12">
        <v>1</v>
      </c>
      <c r="K1223" s="13" t="str">
        <f>HYPERLINK("http://twitter.com/download/android","Twitter for Android")</f>
        <v>Twitter for Android</v>
      </c>
      <c r="L1223" s="12">
        <v>1936</v>
      </c>
      <c r="M1223" s="12">
        <v>4994</v>
      </c>
      <c r="N1223" s="12">
        <v>0</v>
      </c>
      <c r="O1223" s="15"/>
      <c r="P1223" s="6">
        <v>43078.699490740742</v>
      </c>
      <c r="Q1223" s="16" t="s">
        <v>87</v>
      </c>
      <c r="R1223" s="17" t="s">
        <v>2832</v>
      </c>
      <c r="S1223" s="11"/>
      <c r="T1223" s="11"/>
      <c r="U1223" s="10" t="str">
        <f>HYPERLINK("https://pbs.twimg.com/profile_images/939933952122515456/oxhXqSpL.jpg","View")</f>
        <v>View</v>
      </c>
    </row>
    <row r="1224" spans="1:21" ht="51">
      <c r="A1224" s="6">
        <v>43426.041898148149</v>
      </c>
      <c r="B1224" s="7" t="str">
        <f>HYPERLINK("https://twitter.com/davidpmadrid","@davidpmadrid")</f>
        <v>@davidpmadrid</v>
      </c>
      <c r="C1224" s="8" t="s">
        <v>2833</v>
      </c>
      <c r="D1224" s="9" t="s">
        <v>2834</v>
      </c>
      <c r="E1224" s="10" t="str">
        <f>HYPERLINK("https://twitter.com/davidpmadrid/status/1065530407855230976","1065530407855230976")</f>
        <v>1065530407855230976</v>
      </c>
      <c r="F1224" s="11"/>
      <c r="G1224" s="11"/>
      <c r="H1224" s="11"/>
      <c r="I1224" s="12">
        <v>0</v>
      </c>
      <c r="J1224" s="12">
        <v>0</v>
      </c>
      <c r="K1224" s="13" t="str">
        <f t="shared" ref="K1224:K1226" si="253">HYPERLINK("http://twitter.com/download/iphone","Twitter for iPhone")</f>
        <v>Twitter for iPhone</v>
      </c>
      <c r="L1224" s="12">
        <v>215</v>
      </c>
      <c r="M1224" s="12">
        <v>285</v>
      </c>
      <c r="N1224" s="12">
        <v>12</v>
      </c>
      <c r="O1224" s="15"/>
      <c r="P1224" s="6">
        <v>40576.423541666663</v>
      </c>
      <c r="Q1224" s="16" t="s">
        <v>38</v>
      </c>
      <c r="R1224" s="17" t="s">
        <v>2835</v>
      </c>
      <c r="S1224" s="14" t="s">
        <v>2836</v>
      </c>
      <c r="T1224" s="11"/>
      <c r="U1224" s="10" t="str">
        <f>HYPERLINK("https://pbs.twimg.com/profile_images/923537530783502336/SppiROcA.jpg","View")</f>
        <v>View</v>
      </c>
    </row>
    <row r="1225" spans="1:21" ht="30.6">
      <c r="A1225" s="6">
        <v>43426.041666666672</v>
      </c>
      <c r="B1225" s="7" t="str">
        <f>HYPERLINK("https://twitter.com/ValencianosY","@ValencianosY")</f>
        <v>@ValencianosY</v>
      </c>
      <c r="C1225" s="8" t="s">
        <v>2837</v>
      </c>
      <c r="D1225" s="9" t="s">
        <v>2838</v>
      </c>
      <c r="E1225" s="10" t="str">
        <f>HYPERLINK("https://twitter.com/ValencianosY/status/1065530324283727872","1065530324283727872")</f>
        <v>1065530324283727872</v>
      </c>
      <c r="F1225" s="14" t="s">
        <v>96</v>
      </c>
      <c r="G1225" s="11"/>
      <c r="H1225" s="11"/>
      <c r="I1225" s="12">
        <v>0</v>
      </c>
      <c r="J1225" s="12">
        <v>0</v>
      </c>
      <c r="K1225" s="13" t="str">
        <f t="shared" si="253"/>
        <v>Twitter for iPhone</v>
      </c>
      <c r="L1225" s="12">
        <v>229</v>
      </c>
      <c r="M1225" s="12">
        <v>532</v>
      </c>
      <c r="N1225" s="12">
        <v>0</v>
      </c>
      <c r="O1225" s="15"/>
      <c r="P1225" s="6">
        <v>43374.539942129632</v>
      </c>
      <c r="Q1225" s="16" t="s">
        <v>2839</v>
      </c>
      <c r="R1225" s="17" t="s">
        <v>2840</v>
      </c>
      <c r="S1225" s="11"/>
      <c r="T1225" s="11"/>
      <c r="U1225" s="10" t="str">
        <f>HYPERLINK("https://pbs.twimg.com/profile_images/1046852942396096556/ZVpLRqHt.jpg","View")</f>
        <v>View</v>
      </c>
    </row>
    <row r="1226" spans="1:21" ht="30.6">
      <c r="A1226" s="6">
        <v>43426.040891203702</v>
      </c>
      <c r="B1226" s="7" t="str">
        <f>HYPERLINK("https://twitter.com/DinaBousselham","@DinaBousselham")</f>
        <v>@DinaBousselham</v>
      </c>
      <c r="C1226" s="8" t="s">
        <v>2843</v>
      </c>
      <c r="D1226" s="9" t="s">
        <v>2844</v>
      </c>
      <c r="E1226" s="10" t="str">
        <f>HYPERLINK("https://twitter.com/DinaBousselham/status/1065530043500322816","1065530043500322816")</f>
        <v>1065530043500322816</v>
      </c>
      <c r="F1226" s="14" t="s">
        <v>96</v>
      </c>
      <c r="G1226" s="11"/>
      <c r="H1226" s="11"/>
      <c r="I1226" s="12">
        <v>10</v>
      </c>
      <c r="J1226" s="12">
        <v>9</v>
      </c>
      <c r="K1226" s="13" t="str">
        <f t="shared" si="253"/>
        <v>Twitter for iPhone</v>
      </c>
      <c r="L1226" s="12">
        <v>7854</v>
      </c>
      <c r="M1226" s="12">
        <v>1389</v>
      </c>
      <c r="N1226" s="12">
        <v>118</v>
      </c>
      <c r="O1226" s="18" t="s">
        <v>52</v>
      </c>
      <c r="P1226" s="6">
        <v>40141.395300925928</v>
      </c>
      <c r="Q1226" s="11"/>
      <c r="R1226" s="17" t="s">
        <v>2848</v>
      </c>
      <c r="S1226" s="14" t="s">
        <v>2849</v>
      </c>
      <c r="T1226" s="11"/>
      <c r="U1226" s="10" t="str">
        <f>HYPERLINK("https://pbs.twimg.com/profile_images/995970858148679680/y2QDpJ2O.jpg","View")</f>
        <v>View</v>
      </c>
    </row>
    <row r="1227" spans="1:21" ht="51">
      <c r="A1227" s="6">
        <v>43426.040729166663</v>
      </c>
      <c r="B1227" s="7" t="str">
        <f>HYPERLINK("https://twitter.com/demiguelch","@demiguelch")</f>
        <v>@demiguelch</v>
      </c>
      <c r="C1227" s="8" t="s">
        <v>2852</v>
      </c>
      <c r="D1227" s="9" t="s">
        <v>2853</v>
      </c>
      <c r="E1227" s="10" t="str">
        <f>HYPERLINK("https://twitter.com/demiguelch/status/1065529985077833728","1065529985077833728")</f>
        <v>1065529985077833728</v>
      </c>
      <c r="F1227" s="11"/>
      <c r="G1227" s="14" t="s">
        <v>2855</v>
      </c>
      <c r="H1227" s="11"/>
      <c r="I1227" s="12">
        <v>238</v>
      </c>
      <c r="J1227" s="12">
        <v>387</v>
      </c>
      <c r="K1227" s="13" t="str">
        <f t="shared" ref="K1227:K1228" si="254">HYPERLINK("http://twitter.com/download/android","Twitter for Android")</f>
        <v>Twitter for Android</v>
      </c>
      <c r="L1227" s="12">
        <v>12150</v>
      </c>
      <c r="M1227" s="12">
        <v>1796</v>
      </c>
      <c r="N1227" s="12">
        <v>222</v>
      </c>
      <c r="O1227" s="18" t="s">
        <v>52</v>
      </c>
      <c r="P1227" s="6">
        <v>40961.091446759259</v>
      </c>
      <c r="Q1227" s="16" t="s">
        <v>2856</v>
      </c>
      <c r="R1227" s="17" t="s">
        <v>2857</v>
      </c>
      <c r="S1227" s="14" t="s">
        <v>2858</v>
      </c>
      <c r="T1227" s="11"/>
      <c r="U1227" s="10" t="str">
        <f>HYPERLINK("https://pbs.twimg.com/profile_images/553487703325417472/rpjJ1q7y.jpeg","View")</f>
        <v>View</v>
      </c>
    </row>
    <row r="1228" spans="1:21" ht="40.799999999999997">
      <c r="A1228" s="6">
        <v>43426.040393518517</v>
      </c>
      <c r="B1228" s="7" t="str">
        <f>HYPERLINK("https://twitter.com/jmarcos78","@jmarcos78")</f>
        <v>@jmarcos78</v>
      </c>
      <c r="C1228" s="8" t="s">
        <v>2859</v>
      </c>
      <c r="D1228" s="9" t="s">
        <v>2860</v>
      </c>
      <c r="E1228" s="10" t="str">
        <f>HYPERLINK("https://twitter.com/jmarcos78/status/1065529863451365376","1065529863451365376")</f>
        <v>1065529863451365376</v>
      </c>
      <c r="F1228" s="14" t="s">
        <v>96</v>
      </c>
      <c r="G1228" s="11"/>
      <c r="H1228" s="11"/>
      <c r="I1228" s="12">
        <v>3</v>
      </c>
      <c r="J1228" s="12">
        <v>6</v>
      </c>
      <c r="K1228" s="13" t="str">
        <f t="shared" si="254"/>
        <v>Twitter for Android</v>
      </c>
      <c r="L1228" s="12">
        <v>4932</v>
      </c>
      <c r="M1228" s="12">
        <v>1324</v>
      </c>
      <c r="N1228" s="12">
        <v>240</v>
      </c>
      <c r="O1228" s="15"/>
      <c r="P1228" s="6">
        <v>40304.382696759261</v>
      </c>
      <c r="Q1228" s="16" t="s">
        <v>38</v>
      </c>
      <c r="R1228" s="17" t="s">
        <v>2862</v>
      </c>
      <c r="S1228" s="14" t="s">
        <v>2863</v>
      </c>
      <c r="T1228" s="11"/>
      <c r="U1228" s="10" t="str">
        <f>HYPERLINK("https://pbs.twimg.com/profile_images/944712823724224512/_tsDftoS.jpg","View")</f>
        <v>View</v>
      </c>
    </row>
    <row r="1229" spans="1:21" ht="51">
      <c r="A1229" s="6">
        <v>43426.040381944447</v>
      </c>
      <c r="B1229" s="7" t="str">
        <f>HYPERLINK("https://twitter.com/jalvhdez","@jalvhdez")</f>
        <v>@jalvhdez</v>
      </c>
      <c r="C1229" s="8" t="s">
        <v>1480</v>
      </c>
      <c r="D1229" s="9" t="s">
        <v>6236</v>
      </c>
      <c r="E1229" s="10" t="str">
        <f>HYPERLINK("https://twitter.com/jalvhdez/status/1065529856744726528","1065529856744726528")</f>
        <v>1065529856744726528</v>
      </c>
      <c r="F1229" s="11"/>
      <c r="G1229" s="11"/>
      <c r="H1229" s="11"/>
      <c r="I1229" s="12">
        <v>0</v>
      </c>
      <c r="J1229" s="12">
        <v>0</v>
      </c>
      <c r="K1229" s="13" t="str">
        <f>HYPERLINK("http://twitter.com/download/iphone","Twitter for iPhone")</f>
        <v>Twitter for iPhone</v>
      </c>
      <c r="L1229" s="12">
        <v>44</v>
      </c>
      <c r="M1229" s="12">
        <v>114</v>
      </c>
      <c r="N1229" s="12">
        <v>2</v>
      </c>
      <c r="O1229" s="15"/>
      <c r="P1229" s="6">
        <v>41223.105590277773</v>
      </c>
      <c r="Q1229" s="11"/>
      <c r="R1229" s="19"/>
      <c r="S1229" s="11"/>
      <c r="T1229" s="11"/>
      <c r="U1229" s="10" t="str">
        <f>HYPERLINK("https://pbs.twimg.com/profile_images/1036291894517661696/VfqN7qcn.jpg","View")</f>
        <v>View</v>
      </c>
    </row>
    <row r="1230" spans="1:21" ht="51">
      <c r="A1230" s="6">
        <v>43426.039212962962</v>
      </c>
      <c r="B1230" s="7" t="str">
        <f>HYPERLINK("https://twitter.com/MorenoG_Agustin","@MorenoG_Agustin")</f>
        <v>@MorenoG_Agustin</v>
      </c>
      <c r="C1230" s="8" t="s">
        <v>2864</v>
      </c>
      <c r="D1230" s="9" t="s">
        <v>2865</v>
      </c>
      <c r="E1230" s="10" t="str">
        <f>HYPERLINK("https://twitter.com/MorenoG_Agustin/status/1065529434265059328","1065529434265059328")</f>
        <v>1065529434265059328</v>
      </c>
      <c r="F1230" s="14" t="s">
        <v>529</v>
      </c>
      <c r="G1230" s="14" t="s">
        <v>2868</v>
      </c>
      <c r="H1230" s="11"/>
      <c r="I1230" s="12">
        <v>5</v>
      </c>
      <c r="J1230" s="12">
        <v>14</v>
      </c>
      <c r="K1230" s="13" t="str">
        <f t="shared" ref="K1230:K1231" si="255">HYPERLINK("http://twitter.com","Twitter Web Client")</f>
        <v>Twitter Web Client</v>
      </c>
      <c r="L1230" s="12">
        <v>52306</v>
      </c>
      <c r="M1230" s="12">
        <v>29598</v>
      </c>
      <c r="N1230" s="12">
        <v>556</v>
      </c>
      <c r="O1230" s="15"/>
      <c r="P1230" s="6">
        <v>41203.537627314814</v>
      </c>
      <c r="Q1230" s="11"/>
      <c r="R1230" s="17" t="s">
        <v>2869</v>
      </c>
      <c r="S1230" s="11"/>
      <c r="T1230" s="11"/>
      <c r="U1230" s="10" t="str">
        <f>HYPERLINK("https://pbs.twimg.com/profile_images/822517815538315266/8_qQt3sS.jpg","View")</f>
        <v>View</v>
      </c>
    </row>
    <row r="1231" spans="1:21" ht="51">
      <c r="A1231" s="6">
        <v>43426.039155092592</v>
      </c>
      <c r="B1231" s="7" t="str">
        <f>HYPERLINK("https://twitter.com/MyKingdomComes","@MyKingdomComes")</f>
        <v>@MyKingdomComes</v>
      </c>
      <c r="C1231" s="8" t="s">
        <v>6237</v>
      </c>
      <c r="D1231" s="9" t="s">
        <v>6238</v>
      </c>
      <c r="E1231" s="10" t="str">
        <f>HYPERLINK("https://twitter.com/MyKingdomComes/status/1065529415327760384","1065529415327760384")</f>
        <v>1065529415327760384</v>
      </c>
      <c r="F1231" s="14" t="s">
        <v>6239</v>
      </c>
      <c r="G1231" s="14" t="s">
        <v>6240</v>
      </c>
      <c r="H1231" s="11"/>
      <c r="I1231" s="12">
        <v>0</v>
      </c>
      <c r="J1231" s="12">
        <v>0</v>
      </c>
      <c r="K1231" s="13" t="str">
        <f t="shared" si="255"/>
        <v>Twitter Web Client</v>
      </c>
      <c r="L1231" s="12">
        <v>199</v>
      </c>
      <c r="M1231" s="12">
        <v>245</v>
      </c>
      <c r="N1231" s="12">
        <v>3</v>
      </c>
      <c r="O1231" s="15"/>
      <c r="P1231" s="6">
        <v>40785.924687500003</v>
      </c>
      <c r="Q1231" s="11"/>
      <c r="R1231" s="19"/>
      <c r="S1231" s="11"/>
      <c r="T1231" s="11"/>
      <c r="U1231" s="10" t="str">
        <f>HYPERLINK("https://pbs.twimg.com/profile_images/1522068947/image.jpg","View")</f>
        <v>View</v>
      </c>
    </row>
    <row r="1232" spans="1:21" ht="40.799999999999997">
      <c r="A1232" s="6">
        <v>43426.038634259261</v>
      </c>
      <c r="B1232" s="7" t="str">
        <f>HYPERLINK("https://twitter.com/oya106","@oya106")</f>
        <v>@oya106</v>
      </c>
      <c r="C1232" s="8" t="s">
        <v>6241</v>
      </c>
      <c r="D1232" s="9" t="s">
        <v>6242</v>
      </c>
      <c r="E1232" s="10" t="str">
        <f>HYPERLINK("https://twitter.com/oya106/status/1065529225472630784","1065529225472630784")</f>
        <v>1065529225472630784</v>
      </c>
      <c r="F1232" s="14" t="s">
        <v>1416</v>
      </c>
      <c r="G1232" s="11"/>
      <c r="H1232" s="11"/>
      <c r="I1232" s="12">
        <v>0</v>
      </c>
      <c r="J1232" s="12">
        <v>1</v>
      </c>
      <c r="K1232" s="13" t="str">
        <f>HYPERLINK("http://twitter.com/#!/download/ipad","Twitter for iPad")</f>
        <v>Twitter for iPad</v>
      </c>
      <c r="L1232" s="12">
        <v>2277</v>
      </c>
      <c r="M1232" s="12">
        <v>2289</v>
      </c>
      <c r="N1232" s="12">
        <v>1</v>
      </c>
      <c r="O1232" s="15"/>
      <c r="P1232" s="6">
        <v>40873.218946759262</v>
      </c>
      <c r="Q1232" s="16" t="s">
        <v>6243</v>
      </c>
      <c r="R1232" s="17" t="s">
        <v>6244</v>
      </c>
      <c r="S1232" s="11"/>
      <c r="T1232" s="11"/>
      <c r="U1232" s="10" t="str">
        <f>HYPERLINK("https://pbs.twimg.com/profile_images/921071793343025152/8VfDhL8N.jpg","View")</f>
        <v>View</v>
      </c>
    </row>
    <row r="1233" spans="1:21" ht="20.399999999999999">
      <c r="A1233" s="6">
        <v>43426.037546296298</v>
      </c>
      <c r="B1233" s="7" t="str">
        <f>HYPERLINK("https://twitter.com/caue_tuga","@caue_tuga")</f>
        <v>@caue_tuga</v>
      </c>
      <c r="C1233" s="8" t="s">
        <v>2871</v>
      </c>
      <c r="D1233" s="9" t="s">
        <v>2872</v>
      </c>
      <c r="E1233" s="10" t="str">
        <f>HYPERLINK("https://twitter.com/caue_tuga/status/1065528830243336194","1065528830243336194")</f>
        <v>1065528830243336194</v>
      </c>
      <c r="F1233" s="11"/>
      <c r="G1233" s="11"/>
      <c r="H1233" s="11"/>
      <c r="I1233" s="12">
        <v>0</v>
      </c>
      <c r="J1233" s="12">
        <v>0</v>
      </c>
      <c r="K1233" s="13" t="str">
        <f>HYPERLINK("https://mobile.twitter.com","Twitter Lite")</f>
        <v>Twitter Lite</v>
      </c>
      <c r="L1233" s="12">
        <v>919</v>
      </c>
      <c r="M1233" s="12">
        <v>292</v>
      </c>
      <c r="N1233" s="12">
        <v>16</v>
      </c>
      <c r="O1233" s="15"/>
      <c r="P1233" s="6">
        <v>40279.776782407411</v>
      </c>
      <c r="Q1233" s="16" t="s">
        <v>2873</v>
      </c>
      <c r="R1233" s="17" t="s">
        <v>2874</v>
      </c>
      <c r="S1233" s="14" t="s">
        <v>2875</v>
      </c>
      <c r="T1233" s="11"/>
      <c r="U1233" s="10" t="str">
        <f>HYPERLINK("https://pbs.twimg.com/profile_images/1015448452686401536/rcpfnlCh.jpg","View")</f>
        <v>View</v>
      </c>
    </row>
    <row r="1234" spans="1:21" ht="51">
      <c r="A1234" s="6">
        <v>43426.037511574075</v>
      </c>
      <c r="B1234" s="7" t="str">
        <f>HYPERLINK("https://twitter.com/EricRogal","@EricRogal")</f>
        <v>@EricRogal</v>
      </c>
      <c r="C1234" s="8" t="s">
        <v>6245</v>
      </c>
      <c r="D1234" s="9" t="s">
        <v>6246</v>
      </c>
      <c r="E1234" s="10" t="str">
        <f>HYPERLINK("https://twitter.com/EricRogal/status/1065528818054676480","1065528818054676480")</f>
        <v>1065528818054676480</v>
      </c>
      <c r="F1234" s="11"/>
      <c r="G1234" s="11"/>
      <c r="H1234" s="11"/>
      <c r="I1234" s="12">
        <v>0</v>
      </c>
      <c r="J1234" s="12">
        <v>0</v>
      </c>
      <c r="K1234" s="13" t="str">
        <f t="shared" ref="K1234:K1235" si="256">HYPERLINK("http://twitter.com","Twitter Web Client")</f>
        <v>Twitter Web Client</v>
      </c>
      <c r="L1234" s="12">
        <v>631</v>
      </c>
      <c r="M1234" s="12">
        <v>424</v>
      </c>
      <c r="N1234" s="12">
        <v>8</v>
      </c>
      <c r="O1234" s="15"/>
      <c r="P1234" s="6">
        <v>41579.244930555556</v>
      </c>
      <c r="Q1234" s="11"/>
      <c r="R1234" s="17" t="s">
        <v>6247</v>
      </c>
      <c r="S1234" s="11"/>
      <c r="T1234" s="11"/>
      <c r="U1234" s="10" t="str">
        <f>HYPERLINK("https://pbs.twimg.com/profile_images/1062795509054820358/MRG79ht7.jpg","View")</f>
        <v>View</v>
      </c>
    </row>
    <row r="1235" spans="1:21" ht="20.399999999999999">
      <c r="A1235" s="6">
        <v>43426.036365740743</v>
      </c>
      <c r="B1235" s="7" t="str">
        <f>HYPERLINK("https://twitter.com/xevi_domenech","@xevi_domenech")</f>
        <v>@xevi_domenech</v>
      </c>
      <c r="C1235" s="8" t="s">
        <v>2973</v>
      </c>
      <c r="D1235" s="9" t="s">
        <v>6248</v>
      </c>
      <c r="E1235" s="10" t="str">
        <f>HYPERLINK("https://twitter.com/xevi_domenech/status/1065528404051746816","1065528404051746816")</f>
        <v>1065528404051746816</v>
      </c>
      <c r="F1235" s="14" t="s">
        <v>96</v>
      </c>
      <c r="G1235" s="11"/>
      <c r="H1235" s="11"/>
      <c r="I1235" s="12">
        <v>0</v>
      </c>
      <c r="J1235" s="12">
        <v>0</v>
      </c>
      <c r="K1235" s="13" t="str">
        <f t="shared" si="256"/>
        <v>Twitter Web Client</v>
      </c>
      <c r="L1235" s="12">
        <v>241</v>
      </c>
      <c r="M1235" s="12">
        <v>67</v>
      </c>
      <c r="N1235" s="12">
        <v>5</v>
      </c>
      <c r="O1235" s="15"/>
      <c r="P1235" s="6">
        <v>40033.328101851854</v>
      </c>
      <c r="Q1235" s="11"/>
      <c r="R1235" s="19"/>
      <c r="S1235" s="11"/>
      <c r="T1235" s="11"/>
      <c r="U1235" s="10" t="str">
        <f>HYPERLINK("https://pbs.twimg.com/profile_images/582335798441283585/lJFlGkBt.jpg","View")</f>
        <v>View</v>
      </c>
    </row>
    <row r="1236" spans="1:21" ht="30.6">
      <c r="A1236" s="6">
        <v>43426.035694444443</v>
      </c>
      <c r="B1236" s="7" t="str">
        <f>HYPERLINK("https://twitter.com/kyuqui","@kyuqui")</f>
        <v>@kyuqui</v>
      </c>
      <c r="C1236" s="8" t="s">
        <v>6249</v>
      </c>
      <c r="D1236" s="9" t="s">
        <v>6250</v>
      </c>
      <c r="E1236" s="10" t="str">
        <f>HYPERLINK("https://twitter.com/kyuqui/status/1065528159146319872","1065528159146319872")</f>
        <v>1065528159146319872</v>
      </c>
      <c r="F1236" s="11"/>
      <c r="G1236" s="11"/>
      <c r="H1236" s="11"/>
      <c r="I1236" s="12">
        <v>0</v>
      </c>
      <c r="J1236" s="12">
        <v>1</v>
      </c>
      <c r="K1236" s="13" t="str">
        <f>HYPERLINK("https://github.com/TwidereProject","Twidere for Android #8")</f>
        <v>Twidere for Android #8</v>
      </c>
      <c r="L1236" s="12">
        <v>89</v>
      </c>
      <c r="M1236" s="12">
        <v>230</v>
      </c>
      <c r="N1236" s="12">
        <v>3</v>
      </c>
      <c r="O1236" s="15"/>
      <c r="P1236" s="6">
        <v>39978.526041666664</v>
      </c>
      <c r="Q1236" s="16" t="s">
        <v>6251</v>
      </c>
      <c r="R1236" s="17" t="s">
        <v>6252</v>
      </c>
      <c r="S1236" s="11"/>
      <c r="T1236" s="11"/>
      <c r="U1236" s="10" t="str">
        <f>HYPERLINK("https://pbs.twimg.com/profile_images/1047613157047459850/srkXDLI7.jpg","View")</f>
        <v>View</v>
      </c>
    </row>
    <row r="1237" spans="1:21" ht="20.399999999999999">
      <c r="A1237" s="6">
        <v>43426.035300925927</v>
      </c>
      <c r="B1237" s="7" t="str">
        <f>HYPERLINK("https://twitter.com/quimpalacio","@quimpalacio")</f>
        <v>@quimpalacio</v>
      </c>
      <c r="C1237" s="8" t="s">
        <v>6253</v>
      </c>
      <c r="D1237" s="9" t="s">
        <v>2895</v>
      </c>
      <c r="E1237" s="10" t="str">
        <f>HYPERLINK("https://twitter.com/quimpalacio/status/1065528017206865921","1065528017206865921")</f>
        <v>1065528017206865921</v>
      </c>
      <c r="F1237" s="14" t="s">
        <v>529</v>
      </c>
      <c r="G1237" s="11"/>
      <c r="H1237" s="11"/>
      <c r="I1237" s="12">
        <v>0</v>
      </c>
      <c r="J1237" s="12">
        <v>0</v>
      </c>
      <c r="K1237" s="13" t="str">
        <f>HYPERLINK("http://twitter.com","Twitter Web Client")</f>
        <v>Twitter Web Client</v>
      </c>
      <c r="L1237" s="12">
        <v>67</v>
      </c>
      <c r="M1237" s="12">
        <v>151</v>
      </c>
      <c r="N1237" s="12">
        <v>2</v>
      </c>
      <c r="O1237" s="15"/>
      <c r="P1237" s="6">
        <v>42038.098611111112</v>
      </c>
      <c r="Q1237" s="11"/>
      <c r="R1237" s="19"/>
      <c r="S1237" s="11"/>
      <c r="T1237" s="11"/>
      <c r="U1237" s="10" t="str">
        <f>HYPERLINK("https://pbs.twimg.com/profile_images/983680652125134848/VBzJwCRY.jpg","View")</f>
        <v>View</v>
      </c>
    </row>
    <row r="1238" spans="1:21" ht="20.399999999999999">
      <c r="A1238" s="6">
        <v>43426.03528935185</v>
      </c>
      <c r="B1238" s="7" t="str">
        <f>HYPERLINK("https://twitter.com/Kronos_Manuel","@Kronos_Manuel")</f>
        <v>@Kronos_Manuel</v>
      </c>
      <c r="C1238" s="8" t="s">
        <v>2876</v>
      </c>
      <c r="D1238" s="9" t="s">
        <v>2877</v>
      </c>
      <c r="E1238" s="10" t="str">
        <f>HYPERLINK("https://twitter.com/Kronos_Manuel/status/1065528012869914624","1065528012869914624")</f>
        <v>1065528012869914624</v>
      </c>
      <c r="F1238" s="14" t="s">
        <v>96</v>
      </c>
      <c r="G1238" s="11"/>
      <c r="H1238" s="11"/>
      <c r="I1238" s="12">
        <v>0</v>
      </c>
      <c r="J1238" s="12">
        <v>0</v>
      </c>
      <c r="K1238" s="13" t="str">
        <f t="shared" ref="K1238:K1239" si="257">HYPERLINK("http://twitter.com/download/iphone","Twitter for iPhone")</f>
        <v>Twitter for iPhone</v>
      </c>
      <c r="L1238" s="12">
        <v>17</v>
      </c>
      <c r="M1238" s="12">
        <v>20</v>
      </c>
      <c r="N1238" s="12">
        <v>0</v>
      </c>
      <c r="O1238" s="15"/>
      <c r="P1238" s="6">
        <v>42484.031921296293</v>
      </c>
      <c r="Q1238" s="11"/>
      <c r="R1238" s="17" t="s">
        <v>2878</v>
      </c>
      <c r="S1238" s="11"/>
      <c r="T1238" s="11"/>
      <c r="U1238" s="10" t="str">
        <f>HYPERLINK("https://pbs.twimg.com/profile_images/1042919711330193408/DVcr1unV.jpg","View")</f>
        <v>View</v>
      </c>
    </row>
    <row r="1239" spans="1:21" ht="51">
      <c r="A1239" s="6">
        <v>43426.034861111111</v>
      </c>
      <c r="B1239" s="7" t="str">
        <f>HYPERLINK("https://twitter.com/pichicucho","@pichicucho")</f>
        <v>@pichicucho</v>
      </c>
      <c r="C1239" s="8" t="s">
        <v>2881</v>
      </c>
      <c r="D1239" s="9" t="s">
        <v>2882</v>
      </c>
      <c r="E1239" s="10" t="str">
        <f>HYPERLINK("https://twitter.com/pichicucho/status/1065527858393739265","1065527858393739265")</f>
        <v>1065527858393739265</v>
      </c>
      <c r="F1239" s="14" t="s">
        <v>96</v>
      </c>
      <c r="G1239" s="11"/>
      <c r="H1239" s="11"/>
      <c r="I1239" s="12">
        <v>2</v>
      </c>
      <c r="J1239" s="12">
        <v>0</v>
      </c>
      <c r="K1239" s="13" t="str">
        <f t="shared" si="257"/>
        <v>Twitter for iPhone</v>
      </c>
      <c r="L1239" s="12">
        <v>4938</v>
      </c>
      <c r="M1239" s="12">
        <v>4629</v>
      </c>
      <c r="N1239" s="12">
        <v>13</v>
      </c>
      <c r="O1239" s="15"/>
      <c r="P1239" s="6">
        <v>40250.443738425922</v>
      </c>
      <c r="Q1239" s="11"/>
      <c r="R1239" s="17" t="s">
        <v>2884</v>
      </c>
      <c r="S1239" s="14" t="s">
        <v>2885</v>
      </c>
      <c r="T1239" s="11"/>
      <c r="U1239" s="10" t="str">
        <f>HYPERLINK("https://pbs.twimg.com/profile_images/881577057913798656/3QrY1FyP.jpg","View")</f>
        <v>View</v>
      </c>
    </row>
    <row r="1240" spans="1:21" ht="40.799999999999997">
      <c r="A1240" s="6">
        <v>43426.034699074073</v>
      </c>
      <c r="B1240" s="7" t="str">
        <f>HYPERLINK("https://twitter.com/PodemosLavapies","@PodemosLavapies")</f>
        <v>@PodemosLavapies</v>
      </c>
      <c r="C1240" s="8" t="s">
        <v>6254</v>
      </c>
      <c r="D1240" s="9" t="s">
        <v>6255</v>
      </c>
      <c r="E1240" s="10" t="str">
        <f>HYPERLINK("https://twitter.com/PodemosLavapies/status/1065527799195283456","1065527799195283456")</f>
        <v>1065527799195283456</v>
      </c>
      <c r="F1240" s="11"/>
      <c r="G1240" s="14" t="s">
        <v>6256</v>
      </c>
      <c r="H1240" s="11"/>
      <c r="I1240" s="12">
        <v>0</v>
      </c>
      <c r="J1240" s="12">
        <v>0</v>
      </c>
      <c r="K1240" s="13" t="str">
        <f>HYPERLINK("https://about.twitter.com/products/tweetdeck","TweetDeck")</f>
        <v>TweetDeck</v>
      </c>
      <c r="L1240" s="12">
        <v>5505</v>
      </c>
      <c r="M1240" s="12">
        <v>1358</v>
      </c>
      <c r="N1240" s="12">
        <v>90</v>
      </c>
      <c r="O1240" s="15"/>
      <c r="P1240" s="6">
        <v>41666.378032407403</v>
      </c>
      <c r="Q1240" s="16" t="s">
        <v>6257</v>
      </c>
      <c r="R1240" s="17" t="s">
        <v>6258</v>
      </c>
      <c r="S1240" s="14" t="s">
        <v>6259</v>
      </c>
      <c r="T1240" s="11"/>
      <c r="U1240" s="10" t="str">
        <f>HYPERLINK("https://pbs.twimg.com/profile_images/557164687733698562/WxRUxdGl.jpeg","View")</f>
        <v>View</v>
      </c>
    </row>
    <row r="1241" spans="1:21" ht="40.799999999999997">
      <c r="A1241" s="6">
        <v>43426.03434027778</v>
      </c>
      <c r="B1241" s="7" t="str">
        <f>HYPERLINK("https://twitter.com/PodemosCerroAma","@PodemosCerroAma")</f>
        <v>@PodemosCerroAma</v>
      </c>
      <c r="C1241" s="8" t="s">
        <v>6260</v>
      </c>
      <c r="D1241" s="9" t="s">
        <v>6261</v>
      </c>
      <c r="E1241" s="10" t="str">
        <f>HYPERLINK("https://twitter.com/PodemosCerroAma/status/1065527670031699968","1065527670031699968")</f>
        <v>1065527670031699968</v>
      </c>
      <c r="F1241" s="14" t="s">
        <v>6262</v>
      </c>
      <c r="G1241" s="14" t="s">
        <v>6263</v>
      </c>
      <c r="H1241" s="11"/>
      <c r="I1241" s="12">
        <v>9</v>
      </c>
      <c r="J1241" s="12">
        <v>9</v>
      </c>
      <c r="K1241" s="13" t="str">
        <f>HYPERLINK("http://twitter.com","Twitter Web Client")</f>
        <v>Twitter Web Client</v>
      </c>
      <c r="L1241" s="12">
        <v>3554</v>
      </c>
      <c r="M1241" s="12">
        <v>1356</v>
      </c>
      <c r="N1241" s="12">
        <v>46</v>
      </c>
      <c r="O1241" s="15"/>
      <c r="P1241" s="6">
        <v>41699.523958333331</v>
      </c>
      <c r="Q1241" s="16" t="s">
        <v>6264</v>
      </c>
      <c r="R1241" s="17" t="s">
        <v>6265</v>
      </c>
      <c r="S1241" s="14" t="s">
        <v>6266</v>
      </c>
      <c r="T1241" s="11"/>
      <c r="U1241" s="10" t="str">
        <f>HYPERLINK("https://pbs.twimg.com/profile_images/724718308394733568/MG9ML6m9.jpg","View")</f>
        <v>View</v>
      </c>
    </row>
    <row r="1242" spans="1:21" ht="40.799999999999997">
      <c r="A1242" s="6">
        <v>43426.034085648149</v>
      </c>
      <c r="B1242" s="7" t="str">
        <f>HYPERLINK("https://twitter.com/Esparnua","@Esparnua")</f>
        <v>@Esparnua</v>
      </c>
      <c r="C1242" s="8" t="s">
        <v>6267</v>
      </c>
      <c r="D1242" s="9" t="s">
        <v>6268</v>
      </c>
      <c r="E1242" s="10" t="str">
        <f>HYPERLINK("https://twitter.com/Esparnua/status/1065527578776281088","1065527578776281088")</f>
        <v>1065527578776281088</v>
      </c>
      <c r="F1242" s="14" t="s">
        <v>96</v>
      </c>
      <c r="G1242" s="11"/>
      <c r="H1242" s="11"/>
      <c r="I1242" s="12">
        <v>0</v>
      </c>
      <c r="J1242" s="12">
        <v>0</v>
      </c>
      <c r="K1242" s="13" t="str">
        <f t="shared" ref="K1242:K1243" si="258">HYPERLINK("http://twitter.com/download/iphone","Twitter for iPhone")</f>
        <v>Twitter for iPhone</v>
      </c>
      <c r="L1242" s="12">
        <v>700</v>
      </c>
      <c r="M1242" s="12">
        <v>943</v>
      </c>
      <c r="N1242" s="12">
        <v>7</v>
      </c>
      <c r="O1242" s="15"/>
      <c r="P1242" s="6">
        <v>40577.489131944443</v>
      </c>
      <c r="Q1242" s="16" t="s">
        <v>6269</v>
      </c>
      <c r="R1242" s="17" t="s">
        <v>6270</v>
      </c>
      <c r="S1242" s="11"/>
      <c r="T1242" s="11"/>
      <c r="U1242" s="10" t="str">
        <f>HYPERLINK("https://pbs.twimg.com/profile_images/960997827966009345/dE3rNBGi.jpg","View")</f>
        <v>View</v>
      </c>
    </row>
    <row r="1243" spans="1:21" ht="40.799999999999997">
      <c r="A1243" s="6">
        <v>43426.03402777778</v>
      </c>
      <c r="B1243" s="7" t="str">
        <f>HYPERLINK("https://twitter.com/CarlosHidalgoS","@CarlosHidalgoS")</f>
        <v>@CarlosHidalgoS</v>
      </c>
      <c r="C1243" s="8" t="s">
        <v>6271</v>
      </c>
      <c r="D1243" s="9" t="s">
        <v>6272</v>
      </c>
      <c r="E1243" s="10" t="str">
        <f>HYPERLINK("https://twitter.com/CarlosHidalgoS/status/1065527556869378048","1065527556869378048")</f>
        <v>1065527556869378048</v>
      </c>
      <c r="F1243" s="11"/>
      <c r="G1243" s="11"/>
      <c r="H1243" s="11"/>
      <c r="I1243" s="12">
        <v>0</v>
      </c>
      <c r="J1243" s="12">
        <v>0</v>
      </c>
      <c r="K1243" s="13" t="str">
        <f t="shared" si="258"/>
        <v>Twitter for iPhone</v>
      </c>
      <c r="L1243" s="12">
        <v>502</v>
      </c>
      <c r="M1243" s="12">
        <v>1191</v>
      </c>
      <c r="N1243" s="12">
        <v>14</v>
      </c>
      <c r="O1243" s="15"/>
      <c r="P1243" s="6">
        <v>40609.110208333332</v>
      </c>
      <c r="Q1243" s="16" t="s">
        <v>6273</v>
      </c>
      <c r="R1243" s="17" t="s">
        <v>6274</v>
      </c>
      <c r="S1243" s="14" t="s">
        <v>6275</v>
      </c>
      <c r="T1243" s="11"/>
      <c r="U1243" s="10" t="str">
        <f>HYPERLINK("https://pbs.twimg.com/profile_images/467319306259558401/hs0MWAKV.jpeg","View")</f>
        <v>View</v>
      </c>
    </row>
    <row r="1244" spans="1:21" ht="71.400000000000006">
      <c r="A1244" s="6">
        <v>43426.033888888887</v>
      </c>
      <c r="B1244" s="7" t="str">
        <f>HYPERLINK("https://twitter.com/albertosi1974","@albertosi1974")</f>
        <v>@albertosi1974</v>
      </c>
      <c r="C1244" s="8" t="s">
        <v>2887</v>
      </c>
      <c r="D1244" s="9" t="s">
        <v>2888</v>
      </c>
      <c r="E1244" s="10" t="str">
        <f>HYPERLINK("https://twitter.com/albertosi1974/status/1065527506953007104","1065527506953007104")</f>
        <v>1065527506953007104</v>
      </c>
      <c r="F1244" s="16" t="s">
        <v>2889</v>
      </c>
      <c r="G1244" s="11"/>
      <c r="H1244" s="11"/>
      <c r="I1244" s="12">
        <v>1</v>
      </c>
      <c r="J1244" s="12">
        <v>0</v>
      </c>
      <c r="K1244" s="13" t="str">
        <f>HYPERLINK("http://twitter.com","Twitter Web Client")</f>
        <v>Twitter Web Client</v>
      </c>
      <c r="L1244" s="12">
        <v>7263</v>
      </c>
      <c r="M1244" s="12">
        <v>6331</v>
      </c>
      <c r="N1244" s="12">
        <v>70</v>
      </c>
      <c r="O1244" s="15"/>
      <c r="P1244" s="6">
        <v>40522.265613425923</v>
      </c>
      <c r="Q1244" s="16" t="s">
        <v>2890</v>
      </c>
      <c r="R1244" s="17" t="s">
        <v>2891</v>
      </c>
      <c r="S1244" s="11"/>
      <c r="T1244" s="11"/>
      <c r="U1244" s="10" t="str">
        <f>HYPERLINK("https://pbs.twimg.com/profile_images/378800000541977847/317b65d4a4ddc6609bd8eee370250038.jpeg","View")</f>
        <v>View</v>
      </c>
    </row>
    <row r="1245" spans="1:21" ht="30.6">
      <c r="A1245" s="6">
        <v>43426.033379629633</v>
      </c>
      <c r="B1245" s="7" t="str">
        <f>HYPERLINK("https://twitter.com/boye_g","@boye_g")</f>
        <v>@boye_g</v>
      </c>
      <c r="C1245" s="8" t="s">
        <v>2892</v>
      </c>
      <c r="D1245" s="9" t="s">
        <v>2893</v>
      </c>
      <c r="E1245" s="10" t="str">
        <f>HYPERLINK("https://twitter.com/boye_g/status/1065527319513702400","1065527319513702400")</f>
        <v>1065527319513702400</v>
      </c>
      <c r="F1245" s="14" t="s">
        <v>96</v>
      </c>
      <c r="G1245" s="11"/>
      <c r="H1245" s="11"/>
      <c r="I1245" s="12">
        <v>175</v>
      </c>
      <c r="J1245" s="12">
        <v>303</v>
      </c>
      <c r="K1245" s="13" t="str">
        <f>HYPERLINK("http://twitter.com/download/iphone","Twitter for iPhone")</f>
        <v>Twitter for iPhone</v>
      </c>
      <c r="L1245" s="12">
        <v>122491</v>
      </c>
      <c r="M1245" s="12">
        <v>692</v>
      </c>
      <c r="N1245" s="12">
        <v>799</v>
      </c>
      <c r="O1245" s="18" t="s">
        <v>52</v>
      </c>
      <c r="P1245" s="6">
        <v>40992.071342592593</v>
      </c>
      <c r="Q1245" s="11"/>
      <c r="R1245" s="17" t="s">
        <v>2898</v>
      </c>
      <c r="S1245" s="14" t="s">
        <v>2899</v>
      </c>
      <c r="T1245" s="11"/>
      <c r="U1245" s="10" t="str">
        <f>HYPERLINK("https://pbs.twimg.com/profile_images/378800000594264491/01355483f4ed9cc2ba816124cfd4aa8d.jpeg","View")</f>
        <v>View</v>
      </c>
    </row>
    <row r="1246" spans="1:21" ht="40.799999999999997">
      <c r="A1246" s="6">
        <v>43426.033321759256</v>
      </c>
      <c r="B1246" s="7" t="str">
        <f>HYPERLINK("https://twitter.com/Syquus","@Syquus")</f>
        <v>@Syquus</v>
      </c>
      <c r="C1246" s="8" t="s">
        <v>6276</v>
      </c>
      <c r="D1246" s="9" t="s">
        <v>6277</v>
      </c>
      <c r="E1246" s="10" t="str">
        <f>HYPERLINK("https://twitter.com/Syquus/status/1065527300182151168","1065527300182151168")</f>
        <v>1065527300182151168</v>
      </c>
      <c r="F1246" s="14" t="s">
        <v>6278</v>
      </c>
      <c r="G1246" s="11"/>
      <c r="H1246" s="11"/>
      <c r="I1246" s="12">
        <v>1</v>
      </c>
      <c r="J1246" s="12">
        <v>0</v>
      </c>
      <c r="K1246" s="13" t="str">
        <f>HYPERLINK("http://twitter.com/download/android","Twitter for Android")</f>
        <v>Twitter for Android</v>
      </c>
      <c r="L1246" s="12">
        <v>70</v>
      </c>
      <c r="M1246" s="12">
        <v>141</v>
      </c>
      <c r="N1246" s="12">
        <v>6</v>
      </c>
      <c r="O1246" s="15"/>
      <c r="P1246" s="6">
        <v>39679.543530092589</v>
      </c>
      <c r="Q1246" s="16" t="s">
        <v>886</v>
      </c>
      <c r="R1246" s="17" t="s">
        <v>6279</v>
      </c>
      <c r="S1246" s="11"/>
      <c r="T1246" s="11"/>
      <c r="U1246" s="10" t="str">
        <f>HYPERLINK("https://pbs.twimg.com/profile_images/1464765700/ss_25665154.jpg","View")</f>
        <v>View</v>
      </c>
    </row>
    <row r="1247" spans="1:21" ht="30.6">
      <c r="A1247" s="6">
        <v>43426.033263888894</v>
      </c>
      <c r="B1247" s="7" t="str">
        <f>HYPERLINK("https://twitter.com/califormoso","@califormoso")</f>
        <v>@califormoso</v>
      </c>
      <c r="C1247" s="8" t="s">
        <v>6280</v>
      </c>
      <c r="D1247" s="9" t="s">
        <v>6281</v>
      </c>
      <c r="E1247" s="10" t="str">
        <f>HYPERLINK("https://twitter.com/califormoso/status/1065527280913530882","1065527280913530882")</f>
        <v>1065527280913530882</v>
      </c>
      <c r="F1247" s="14" t="s">
        <v>529</v>
      </c>
      <c r="G1247" s="11"/>
      <c r="H1247" s="11"/>
      <c r="I1247" s="12">
        <v>0</v>
      </c>
      <c r="J1247" s="12">
        <v>0</v>
      </c>
      <c r="K1247" s="13" t="str">
        <f>HYPERLINK("http://twitter.com","Twitter Web Client")</f>
        <v>Twitter Web Client</v>
      </c>
      <c r="L1247" s="12">
        <v>148</v>
      </c>
      <c r="M1247" s="12">
        <v>76</v>
      </c>
      <c r="N1247" s="12">
        <v>3</v>
      </c>
      <c r="O1247" s="15"/>
      <c r="P1247" s="6">
        <v>42094.572766203702</v>
      </c>
      <c r="Q1247" s="16" t="s">
        <v>6282</v>
      </c>
      <c r="R1247" s="17" t="s">
        <v>6283</v>
      </c>
      <c r="S1247" s="11"/>
      <c r="T1247" s="11"/>
      <c r="U1247" s="10" t="str">
        <f>HYPERLINK("https://pbs.twimg.com/profile_images/583014339256389633/SmjYFeAZ.jpg","View")</f>
        <v>View</v>
      </c>
    </row>
    <row r="1248" spans="1:21" ht="20.399999999999999">
      <c r="A1248" s="6">
        <v>43426.032337962963</v>
      </c>
      <c r="B1248" s="7" t="str">
        <f>HYPERLINK("https://twitter.com/ciencibait","@ciencibait")</f>
        <v>@ciencibait</v>
      </c>
      <c r="C1248" s="8" t="s">
        <v>6284</v>
      </c>
      <c r="D1248" s="9" t="s">
        <v>6285</v>
      </c>
      <c r="E1248" s="10" t="str">
        <f>HYPERLINK("https://twitter.com/ciencibait/status/1065526941795696640","1065526941795696640")</f>
        <v>1065526941795696640</v>
      </c>
      <c r="F1248" s="11"/>
      <c r="G1248" s="11"/>
      <c r="H1248" s="11"/>
      <c r="I1248" s="12">
        <v>0</v>
      </c>
      <c r="J1248" s="12">
        <v>0</v>
      </c>
      <c r="K1248" s="13" t="str">
        <f>HYPERLINK("https://cheapbotsdonequick.com","Cheap Bots, Done Quick!")</f>
        <v>Cheap Bots, Done Quick!</v>
      </c>
      <c r="L1248" s="12">
        <v>98</v>
      </c>
      <c r="M1248" s="12">
        <v>3</v>
      </c>
      <c r="N1248" s="12">
        <v>2</v>
      </c>
      <c r="O1248" s="15"/>
      <c r="P1248" s="6">
        <v>42934.188923611116</v>
      </c>
      <c r="Q1248" s="11"/>
      <c r="R1248" s="17" t="s">
        <v>6286</v>
      </c>
      <c r="S1248" s="11"/>
      <c r="T1248" s="11"/>
      <c r="U1248" s="10" t="str">
        <f>HYPERLINK("https://pbs.twimg.com/profile_images/887301235627483137/-8wg4xTJ.jpg","View")</f>
        <v>View</v>
      </c>
    </row>
    <row r="1249" spans="1:21" ht="30.6">
      <c r="A1249" s="6">
        <v>43426.03225694444</v>
      </c>
      <c r="B1249" s="7" t="str">
        <f>HYPERLINK("https://twitter.com/albertosi1974","@albertosi1974")</f>
        <v>@albertosi1974</v>
      </c>
      <c r="C1249" s="8" t="s">
        <v>2887</v>
      </c>
      <c r="D1249" s="9" t="s">
        <v>768</v>
      </c>
      <c r="E1249" s="10" t="str">
        <f>HYPERLINK("https://twitter.com/albertosi1974/status/1065526915568713728","1065526915568713728")</f>
        <v>1065526915568713728</v>
      </c>
      <c r="F1249" s="14" t="s">
        <v>529</v>
      </c>
      <c r="G1249" s="11"/>
      <c r="H1249" s="11"/>
      <c r="I1249" s="12">
        <v>0</v>
      </c>
      <c r="J1249" s="12">
        <v>0</v>
      </c>
      <c r="K1249" s="13" t="str">
        <f>HYPERLINK("http://twitter.com","Twitter Web Client")</f>
        <v>Twitter Web Client</v>
      </c>
      <c r="L1249" s="12">
        <v>7263</v>
      </c>
      <c r="M1249" s="12">
        <v>6331</v>
      </c>
      <c r="N1249" s="12">
        <v>70</v>
      </c>
      <c r="O1249" s="15"/>
      <c r="P1249" s="6">
        <v>40522.265613425923</v>
      </c>
      <c r="Q1249" s="16" t="s">
        <v>2890</v>
      </c>
      <c r="R1249" s="17" t="s">
        <v>2891</v>
      </c>
      <c r="S1249" s="11"/>
      <c r="T1249" s="11"/>
      <c r="U1249" s="10" t="str">
        <f>HYPERLINK("https://pbs.twimg.com/profile_images/378800000541977847/317b65d4a4ddc6609bd8eee370250038.jpeg","View")</f>
        <v>View</v>
      </c>
    </row>
    <row r="1250" spans="1:21" ht="40.799999999999997">
      <c r="A1250" s="6">
        <v>43426.031296296293</v>
      </c>
      <c r="B1250" s="7" t="str">
        <f>HYPERLINK("https://twitter.com/ikaitor","@ikaitor")</f>
        <v>@ikaitor</v>
      </c>
      <c r="C1250" s="8" t="s">
        <v>6287</v>
      </c>
      <c r="D1250" s="9" t="s">
        <v>6288</v>
      </c>
      <c r="E1250" s="10" t="str">
        <f>HYPERLINK("https://twitter.com/ikaitor/status/1065526565323313152","1065526565323313152")</f>
        <v>1065526565323313152</v>
      </c>
      <c r="F1250" s="14" t="s">
        <v>529</v>
      </c>
      <c r="G1250" s="11"/>
      <c r="H1250" s="11"/>
      <c r="I1250" s="12">
        <v>6</v>
      </c>
      <c r="J1250" s="12">
        <v>12</v>
      </c>
      <c r="K1250" s="13" t="str">
        <f>HYPERLINK("http://twitter.com/download/android","Twitter for Android")</f>
        <v>Twitter for Android</v>
      </c>
      <c r="L1250" s="12">
        <v>17018</v>
      </c>
      <c r="M1250" s="12">
        <v>1140</v>
      </c>
      <c r="N1250" s="12">
        <v>622</v>
      </c>
      <c r="O1250" s="15"/>
      <c r="P1250" s="6">
        <v>39813.364421296297</v>
      </c>
      <c r="Q1250" s="16" t="s">
        <v>38</v>
      </c>
      <c r="R1250" s="17" t="s">
        <v>6289</v>
      </c>
      <c r="S1250" s="14" t="s">
        <v>6290</v>
      </c>
      <c r="T1250" s="11"/>
      <c r="U1250" s="10" t="str">
        <f>HYPERLINK("https://pbs.twimg.com/profile_images/923654475360997377/_9yNRShJ.jpg","View")</f>
        <v>View</v>
      </c>
    </row>
    <row r="1251" spans="1:21" ht="51">
      <c r="A1251" s="6">
        <v>43426.030590277776</v>
      </c>
      <c r="B1251" s="7" t="str">
        <f>HYPERLINK("https://twitter.com/PodLaBombilla","@PodLaBombilla")</f>
        <v>@PodLaBombilla</v>
      </c>
      <c r="C1251" s="8" t="s">
        <v>2900</v>
      </c>
      <c r="D1251" s="9" t="s">
        <v>2902</v>
      </c>
      <c r="E1251" s="10" t="str">
        <f>HYPERLINK("https://twitter.com/PodLaBombilla/status/1065526308938162177","1065526308938162177")</f>
        <v>1065526308938162177</v>
      </c>
      <c r="F1251" s="11"/>
      <c r="G1251" s="14" t="s">
        <v>2904</v>
      </c>
      <c r="H1251" s="11"/>
      <c r="I1251" s="12">
        <v>0</v>
      </c>
      <c r="J1251" s="12">
        <v>0</v>
      </c>
      <c r="K1251" s="13" t="str">
        <f>HYPERLINK("https://about.twitter.com/products/tweetdeck","TweetDeck")</f>
        <v>TweetDeck</v>
      </c>
      <c r="L1251" s="12">
        <v>414</v>
      </c>
      <c r="M1251" s="12">
        <v>363</v>
      </c>
      <c r="N1251" s="12">
        <v>9</v>
      </c>
      <c r="O1251" s="15"/>
      <c r="P1251" s="6">
        <v>42491.045775462961</v>
      </c>
      <c r="Q1251" s="11"/>
      <c r="R1251" s="17" t="s">
        <v>2905</v>
      </c>
      <c r="S1251" s="11"/>
      <c r="T1251" s="11"/>
      <c r="U1251" s="10" t="str">
        <f>HYPERLINK("https://pbs.twimg.com/profile_images/1010070406752030721/lqsl2tRX.jpg","View")</f>
        <v>View</v>
      </c>
    </row>
    <row r="1252" spans="1:21" ht="30.6">
      <c r="A1252" s="6">
        <v>43426.028483796297</v>
      </c>
      <c r="B1252" s="7" t="str">
        <f>HYPERLINK("https://twitter.com/anmuscalu","@anmuscalu")</f>
        <v>@anmuscalu</v>
      </c>
      <c r="C1252" s="8" t="s">
        <v>6291</v>
      </c>
      <c r="D1252" s="9" t="s">
        <v>768</v>
      </c>
      <c r="E1252" s="10" t="str">
        <f>HYPERLINK("https://twitter.com/anmuscalu/status/1065525545285427200","1065525545285427200")</f>
        <v>1065525545285427200</v>
      </c>
      <c r="F1252" s="14" t="s">
        <v>529</v>
      </c>
      <c r="G1252" s="11"/>
      <c r="H1252" s="11"/>
      <c r="I1252" s="12">
        <v>0</v>
      </c>
      <c r="J1252" s="12">
        <v>0</v>
      </c>
      <c r="K1252" s="13" t="str">
        <f t="shared" ref="K1252:K1253" si="259">HYPERLINK("http://twitter.com/download/android","Twitter for Android")</f>
        <v>Twitter for Android</v>
      </c>
      <c r="L1252" s="12">
        <v>117</v>
      </c>
      <c r="M1252" s="12">
        <v>804</v>
      </c>
      <c r="N1252" s="12">
        <v>2</v>
      </c>
      <c r="O1252" s="15"/>
      <c r="P1252" s="6">
        <v>40013.392523148148</v>
      </c>
      <c r="Q1252" s="16" t="s">
        <v>886</v>
      </c>
      <c r="R1252" s="17" t="s">
        <v>6292</v>
      </c>
      <c r="S1252" s="14" t="s">
        <v>6293</v>
      </c>
      <c r="T1252" s="11"/>
      <c r="U1252" s="10" t="str">
        <f>HYPERLINK("https://pbs.twimg.com/profile_images/1061910618477879296/2e5YnDuP.jpg","View")</f>
        <v>View</v>
      </c>
    </row>
    <row r="1253" spans="1:21" ht="51">
      <c r="A1253" s="6">
        <v>43426.02721064815</v>
      </c>
      <c r="B1253" s="7" t="str">
        <f>HYPERLINK("https://twitter.com/FreireALFONSO","@FreireALFONSO")</f>
        <v>@FreireALFONSO</v>
      </c>
      <c r="C1253" s="8" t="s">
        <v>434</v>
      </c>
      <c r="D1253" s="9" t="s">
        <v>2907</v>
      </c>
      <c r="E1253" s="10" t="str">
        <f>HYPERLINK("https://twitter.com/FreireALFONSO/status/1065525085635821568","1065525085635821568")</f>
        <v>1065525085635821568</v>
      </c>
      <c r="F1253" s="11"/>
      <c r="G1253" s="14" t="s">
        <v>2908</v>
      </c>
      <c r="H1253" s="11"/>
      <c r="I1253" s="12">
        <v>0</v>
      </c>
      <c r="J1253" s="12">
        <v>0</v>
      </c>
      <c r="K1253" s="13" t="str">
        <f t="shared" si="259"/>
        <v>Twitter for Android</v>
      </c>
      <c r="L1253" s="12">
        <v>101</v>
      </c>
      <c r="M1253" s="12">
        <v>83</v>
      </c>
      <c r="N1253" s="12">
        <v>4</v>
      </c>
      <c r="O1253" s="15"/>
      <c r="P1253" s="6">
        <v>41195.490740740745</v>
      </c>
      <c r="Q1253" s="16" t="s">
        <v>439</v>
      </c>
      <c r="R1253" s="17" t="s">
        <v>440</v>
      </c>
      <c r="S1253" s="11"/>
      <c r="T1253" s="11"/>
      <c r="U1253" s="10" t="str">
        <f>HYPERLINK("https://pbs.twimg.com/profile_images/1040311561552887808/pTkAtlbw.jpg","View")</f>
        <v>View</v>
      </c>
    </row>
    <row r="1254" spans="1:21" ht="40.799999999999997">
      <c r="A1254" s="6">
        <v>43426.026238425926</v>
      </c>
      <c r="B1254" s="7" t="str">
        <f>HYPERLINK("https://twitter.com/joanmena","@joanmena")</f>
        <v>@joanmena</v>
      </c>
      <c r="C1254" s="8" t="s">
        <v>2913</v>
      </c>
      <c r="D1254" s="9" t="s">
        <v>2914</v>
      </c>
      <c r="E1254" s="10" t="str">
        <f>HYPERLINK("https://twitter.com/joanmena/status/1065524731263270912","1065524731263270912")</f>
        <v>1065524731263270912</v>
      </c>
      <c r="F1254" s="14" t="s">
        <v>96</v>
      </c>
      <c r="G1254" s="11"/>
      <c r="H1254" s="11"/>
      <c r="I1254" s="12">
        <v>14</v>
      </c>
      <c r="J1254" s="12">
        <v>25</v>
      </c>
      <c r="K1254" s="13" t="str">
        <f>HYPERLINK("http://twitter.com/download/iphone","Twitter for iPhone")</f>
        <v>Twitter for iPhone</v>
      </c>
      <c r="L1254" s="12">
        <v>24915</v>
      </c>
      <c r="M1254" s="12">
        <v>2598</v>
      </c>
      <c r="N1254" s="12">
        <v>309</v>
      </c>
      <c r="O1254" s="18" t="s">
        <v>52</v>
      </c>
      <c r="P1254" s="6">
        <v>40025.43372685185</v>
      </c>
      <c r="Q1254" s="16" t="s">
        <v>2917</v>
      </c>
      <c r="R1254" s="17" t="s">
        <v>2918</v>
      </c>
      <c r="S1254" s="14" t="s">
        <v>2919</v>
      </c>
      <c r="T1254" s="11"/>
      <c r="U1254" s="10" t="str">
        <f>HYPERLINK("https://pbs.twimg.com/profile_images/1022490088318615553/OkOc2t0s.jpg","View")</f>
        <v>View</v>
      </c>
    </row>
    <row r="1255" spans="1:21" ht="40.799999999999997">
      <c r="A1255" s="6">
        <v>43426.025601851856</v>
      </c>
      <c r="B1255" s="7" t="str">
        <f>HYPERLINK("https://twitter.com/pvallin","@pvallin")</f>
        <v>@pvallin</v>
      </c>
      <c r="C1255" s="8" t="s">
        <v>2922</v>
      </c>
      <c r="D1255" s="9" t="s">
        <v>2923</v>
      </c>
      <c r="E1255" s="10" t="str">
        <f>HYPERLINK("https://twitter.com/pvallin/status/1065524501570641920","1065524501570641920")</f>
        <v>1065524501570641920</v>
      </c>
      <c r="F1255" s="14" t="s">
        <v>96</v>
      </c>
      <c r="G1255" s="11"/>
      <c r="H1255" s="11"/>
      <c r="I1255" s="12">
        <v>26</v>
      </c>
      <c r="J1255" s="12">
        <v>46</v>
      </c>
      <c r="K1255" s="13" t="str">
        <f>HYPERLINK("http://twitter.com","Twitter Web Client")</f>
        <v>Twitter Web Client</v>
      </c>
      <c r="L1255" s="12">
        <v>23254</v>
      </c>
      <c r="M1255" s="12">
        <v>1775</v>
      </c>
      <c r="N1255" s="12">
        <v>315</v>
      </c>
      <c r="O1255" s="15"/>
      <c r="P1255" s="6">
        <v>40917.328530092593</v>
      </c>
      <c r="Q1255" s="16" t="s">
        <v>28</v>
      </c>
      <c r="R1255" s="17" t="s">
        <v>2927</v>
      </c>
      <c r="S1255" s="11"/>
      <c r="T1255" s="11"/>
      <c r="U1255" s="10" t="str">
        <f>HYPERLINK("https://pbs.twimg.com/profile_images/993607003254779905/wxCU4O8X.jpg","View")</f>
        <v>View</v>
      </c>
    </row>
    <row r="1256" spans="1:21" ht="40.799999999999997">
      <c r="A1256" s="6">
        <v>43426.025347222225</v>
      </c>
      <c r="B1256" s="7" t="str">
        <f>HYPERLINK("https://twitter.com/MarioOrtega","@MarioOrtega")</f>
        <v>@MarioOrtega</v>
      </c>
      <c r="C1256" s="8" t="s">
        <v>6294</v>
      </c>
      <c r="D1256" s="9" t="s">
        <v>6295</v>
      </c>
      <c r="E1256" s="10" t="str">
        <f>HYPERLINK("https://twitter.com/MarioOrtega/status/1065524409551790080","1065524409551790080")</f>
        <v>1065524409551790080</v>
      </c>
      <c r="F1256" s="14" t="s">
        <v>96</v>
      </c>
      <c r="G1256" s="11"/>
      <c r="H1256" s="11"/>
      <c r="I1256" s="12">
        <v>1</v>
      </c>
      <c r="J1256" s="12">
        <v>1</v>
      </c>
      <c r="K1256" s="13" t="str">
        <f>HYPERLINK("http://www.facebook.com/twitter","Facebook")</f>
        <v>Facebook</v>
      </c>
      <c r="L1256" s="12">
        <v>889</v>
      </c>
      <c r="M1256" s="12">
        <v>847</v>
      </c>
      <c r="N1256" s="12">
        <v>50</v>
      </c>
      <c r="O1256" s="15"/>
      <c r="P1256" s="6">
        <v>39679.423738425925</v>
      </c>
      <c r="Q1256" s="16" t="s">
        <v>6296</v>
      </c>
      <c r="R1256" s="17" t="s">
        <v>6297</v>
      </c>
      <c r="S1256" s="14" t="s">
        <v>6298</v>
      </c>
      <c r="T1256" s="11"/>
      <c r="U1256" s="10" t="str">
        <f>HYPERLINK("https://pbs.twimg.com/profile_images/1058621517364449280/vMhyqhgp.jpg","View")</f>
        <v>View</v>
      </c>
    </row>
    <row r="1257" spans="1:21" ht="30.6">
      <c r="A1257" s="6">
        <v>43426.024479166663</v>
      </c>
      <c r="B1257" s="7" t="str">
        <f>HYPERLINK("https://twitter.com/BreakFyre","@BreakFyre")</f>
        <v>@BreakFyre</v>
      </c>
      <c r="C1257" s="8" t="s">
        <v>6299</v>
      </c>
      <c r="D1257" s="9" t="s">
        <v>6300</v>
      </c>
      <c r="E1257" s="10" t="str">
        <f>HYPERLINK("https://twitter.com/BreakFyre/status/1065524094051991552","1065524094051991552")</f>
        <v>1065524094051991552</v>
      </c>
      <c r="F1257" s="14" t="s">
        <v>6301</v>
      </c>
      <c r="G1257" s="11"/>
      <c r="H1257" s="11"/>
      <c r="I1257" s="12">
        <v>0</v>
      </c>
      <c r="J1257" s="12">
        <v>0</v>
      </c>
      <c r="K1257" s="13" t="str">
        <f>HYPERLINK("https://curiouscat.me","Curious Cat")</f>
        <v>Curious Cat</v>
      </c>
      <c r="L1257" s="12">
        <v>188</v>
      </c>
      <c r="M1257" s="12">
        <v>188</v>
      </c>
      <c r="N1257" s="12">
        <v>7</v>
      </c>
      <c r="O1257" s="15"/>
      <c r="P1257" s="6">
        <v>41499.242245370369</v>
      </c>
      <c r="Q1257" s="16" t="s">
        <v>278</v>
      </c>
      <c r="R1257" s="17" t="s">
        <v>6302</v>
      </c>
      <c r="S1257" s="11"/>
      <c r="T1257" s="11"/>
      <c r="U1257" s="10" t="str">
        <f>HYPERLINK("https://pbs.twimg.com/profile_images/1049955256501764096/Z-b2Cedx.jpg","View")</f>
        <v>View</v>
      </c>
    </row>
    <row r="1258" spans="1:21" ht="51">
      <c r="A1258" s="6">
        <v>43426.024467592593</v>
      </c>
      <c r="B1258" s="7" t="str">
        <f>HYPERLINK("https://twitter.com/jlopezfeliz","@jlopezfeliz")</f>
        <v>@jlopezfeliz</v>
      </c>
      <c r="C1258" s="8" t="s">
        <v>2928</v>
      </c>
      <c r="D1258" s="9" t="s">
        <v>2929</v>
      </c>
      <c r="E1258" s="10" t="str">
        <f>HYPERLINK("https://twitter.com/jlopezfeliz/status/1065524090390421504","1065524090390421504")</f>
        <v>1065524090390421504</v>
      </c>
      <c r="F1258" s="14" t="s">
        <v>529</v>
      </c>
      <c r="G1258" s="11"/>
      <c r="H1258" s="11"/>
      <c r="I1258" s="12">
        <v>54</v>
      </c>
      <c r="J1258" s="12">
        <v>52</v>
      </c>
      <c r="K1258" s="13" t="str">
        <f>HYPERLINK("http://twitter.com/download/android","Twitter for Android")</f>
        <v>Twitter for Android</v>
      </c>
      <c r="L1258" s="12">
        <v>3946</v>
      </c>
      <c r="M1258" s="12">
        <v>2862</v>
      </c>
      <c r="N1258" s="12">
        <v>20</v>
      </c>
      <c r="O1258" s="15"/>
      <c r="P1258" s="6">
        <v>42243.342650462961</v>
      </c>
      <c r="Q1258" s="16" t="s">
        <v>2930</v>
      </c>
      <c r="R1258" s="17" t="s">
        <v>2931</v>
      </c>
      <c r="S1258" s="11"/>
      <c r="T1258" s="11"/>
      <c r="U1258" s="10" t="str">
        <f>HYPERLINK("https://pbs.twimg.com/profile_images/1053538043787968512/1vdmQgt5.jpg","View")</f>
        <v>View</v>
      </c>
    </row>
    <row r="1259" spans="1:21" ht="40.799999999999997">
      <c r="A1259" s="6">
        <v>43426.023402777777</v>
      </c>
      <c r="B1259" s="7" t="str">
        <f>HYPERLINK("https://twitter.com/CALLLUIS","@CALLLUIS")</f>
        <v>@CALLLUIS</v>
      </c>
      <c r="C1259" s="8" t="s">
        <v>2932</v>
      </c>
      <c r="D1259" s="9" t="s">
        <v>2933</v>
      </c>
      <c r="E1259" s="10" t="str">
        <f>HYPERLINK("https://twitter.com/CALLLUIS/status/1065523707307851776","1065523707307851776")</f>
        <v>1065523707307851776</v>
      </c>
      <c r="F1259" s="11"/>
      <c r="G1259" s="11"/>
      <c r="H1259" s="11"/>
      <c r="I1259" s="12">
        <v>0</v>
      </c>
      <c r="J1259" s="12">
        <v>0</v>
      </c>
      <c r="K1259" s="13" t="str">
        <f>HYPERLINK("http://twitter.com","Twitter Web Client")</f>
        <v>Twitter Web Client</v>
      </c>
      <c r="L1259" s="12">
        <v>422</v>
      </c>
      <c r="M1259" s="12">
        <v>624</v>
      </c>
      <c r="N1259" s="12">
        <v>28</v>
      </c>
      <c r="O1259" s="15"/>
      <c r="P1259" s="6">
        <v>40755.114259259259</v>
      </c>
      <c r="Q1259" s="16" t="s">
        <v>2934</v>
      </c>
      <c r="R1259" s="17" t="s">
        <v>2935</v>
      </c>
      <c r="S1259" s="14" t="s">
        <v>2936</v>
      </c>
      <c r="T1259" s="11"/>
      <c r="U1259" s="10" t="str">
        <f>HYPERLINK("https://pbs.twimg.com/profile_images/549630837440774144/CpGrGhf0.jpeg","View")</f>
        <v>View</v>
      </c>
    </row>
    <row r="1260" spans="1:21" ht="30.6">
      <c r="A1260" s="6">
        <v>43426.022650462968</v>
      </c>
      <c r="B1260" s="7" t="str">
        <f>HYPERLINK("https://twitter.com/Rosaesla77","@Rosaesla77")</f>
        <v>@Rosaesla77</v>
      </c>
      <c r="C1260" s="8" t="s">
        <v>2937</v>
      </c>
      <c r="D1260" s="9" t="s">
        <v>2938</v>
      </c>
      <c r="E1260" s="10" t="str">
        <f>HYPERLINK("https://twitter.com/Rosaesla77/status/1065523430882246656","1065523430882246656")</f>
        <v>1065523430882246656</v>
      </c>
      <c r="F1260" s="14" t="s">
        <v>2939</v>
      </c>
      <c r="G1260" s="11"/>
      <c r="H1260" s="11"/>
      <c r="I1260" s="12">
        <v>0</v>
      </c>
      <c r="J1260" s="12">
        <v>0</v>
      </c>
      <c r="K1260" s="13" t="str">
        <f>HYPERLINK("http://twitter.com/download/iphone","Twitter for iPhone")</f>
        <v>Twitter for iPhone</v>
      </c>
      <c r="L1260" s="12">
        <v>63</v>
      </c>
      <c r="M1260" s="12">
        <v>541</v>
      </c>
      <c r="N1260" s="12">
        <v>0</v>
      </c>
      <c r="O1260" s="15"/>
      <c r="P1260" s="6">
        <v>42675.424687499995</v>
      </c>
      <c r="Q1260" s="16" t="s">
        <v>28</v>
      </c>
      <c r="R1260" s="17" t="s">
        <v>2940</v>
      </c>
      <c r="S1260" s="11"/>
      <c r="T1260" s="11"/>
      <c r="U1260" s="10" t="str">
        <f>HYPERLINK("https://pbs.twimg.com/profile_images/928713723707121669/fVWeOsKd.jpg","View")</f>
        <v>View</v>
      </c>
    </row>
    <row r="1261" spans="1:21" ht="40.799999999999997">
      <c r="A1261" s="6">
        <v>43426.022604166668</v>
      </c>
      <c r="B1261" s="7" t="str">
        <f>HYPERLINK("https://twitter.com/canalls77","@canalls77")</f>
        <v>@canalls77</v>
      </c>
      <c r="C1261" s="8" t="s">
        <v>6303</v>
      </c>
      <c r="D1261" s="9" t="s">
        <v>6304</v>
      </c>
      <c r="E1261" s="10" t="str">
        <f>HYPERLINK("https://twitter.com/canalls77/status/1065523416277622784","1065523416277622784")</f>
        <v>1065523416277622784</v>
      </c>
      <c r="F1261" s="14" t="s">
        <v>6305</v>
      </c>
      <c r="G1261" s="11"/>
      <c r="H1261" s="11"/>
      <c r="I1261" s="12">
        <v>7</v>
      </c>
      <c r="J1261" s="12">
        <v>13</v>
      </c>
      <c r="K1261" s="13" t="str">
        <f>HYPERLINK("http://twitter.com","Twitter Web Client")</f>
        <v>Twitter Web Client</v>
      </c>
      <c r="L1261" s="12">
        <v>12757</v>
      </c>
      <c r="M1261" s="12">
        <v>8665</v>
      </c>
      <c r="N1261" s="12">
        <v>99</v>
      </c>
      <c r="O1261" s="15"/>
      <c r="P1261" s="6">
        <v>40594.19630787037</v>
      </c>
      <c r="Q1261" s="16" t="s">
        <v>6306</v>
      </c>
      <c r="R1261" s="17" t="s">
        <v>6307</v>
      </c>
      <c r="S1261" s="11"/>
      <c r="T1261" s="11"/>
      <c r="U1261" s="10" t="str">
        <f>HYPERLINK("https://pbs.twimg.com/profile_images/1040266533182816262/7lnbbnVn.jpg","View")</f>
        <v>View</v>
      </c>
    </row>
    <row r="1262" spans="1:21" ht="81.599999999999994">
      <c r="A1262" s="6">
        <v>43426.022314814814</v>
      </c>
      <c r="B1262" s="7" t="str">
        <f>HYPERLINK("https://twitter.com/zuleimasoleil","@zuleimasoleil")</f>
        <v>@zuleimasoleil</v>
      </c>
      <c r="C1262" s="8" t="s">
        <v>2941</v>
      </c>
      <c r="D1262" s="9" t="s">
        <v>2942</v>
      </c>
      <c r="E1262" s="10" t="str">
        <f>HYPERLINK("https://twitter.com/zuleimasoleil/status/1065523309759090688","1065523309759090688")</f>
        <v>1065523309759090688</v>
      </c>
      <c r="F1262" s="16" t="s">
        <v>1078</v>
      </c>
      <c r="G1262" s="11"/>
      <c r="H1262" s="11"/>
      <c r="I1262" s="12">
        <v>0</v>
      </c>
      <c r="J1262" s="12">
        <v>0</v>
      </c>
      <c r="K1262" s="13" t="str">
        <f t="shared" ref="K1262:K1263" si="260">HYPERLINK("http://twitter.com/download/android","Twitter for Android")</f>
        <v>Twitter for Android</v>
      </c>
      <c r="L1262" s="12">
        <v>285</v>
      </c>
      <c r="M1262" s="12">
        <v>631</v>
      </c>
      <c r="N1262" s="12">
        <v>10</v>
      </c>
      <c r="O1262" s="15"/>
      <c r="P1262" s="6">
        <v>42286.343171296292</v>
      </c>
      <c r="Q1262" s="16" t="s">
        <v>406</v>
      </c>
      <c r="R1262" s="17" t="s">
        <v>2945</v>
      </c>
      <c r="S1262" s="11"/>
      <c r="T1262" s="11"/>
      <c r="U1262" s="10" t="str">
        <f>HYPERLINK("https://pbs.twimg.com/profile_images/844202041958436864/7jgQDrty.jpg","View")</f>
        <v>View</v>
      </c>
    </row>
    <row r="1263" spans="1:21" ht="30.6">
      <c r="A1263" s="6">
        <v>43426.021469907406</v>
      </c>
      <c r="B1263" s="7" t="str">
        <f>HYPERLINK("https://twitter.com/AlfreBarriosR","@AlfreBarriosR")</f>
        <v>@AlfreBarriosR</v>
      </c>
      <c r="C1263" s="8" t="s">
        <v>2949</v>
      </c>
      <c r="D1263" s="9" t="s">
        <v>2950</v>
      </c>
      <c r="E1263" s="10" t="str">
        <f>HYPERLINK("https://twitter.com/AlfreBarriosR/status/1065523006246653952","1065523006246653952")</f>
        <v>1065523006246653952</v>
      </c>
      <c r="F1263" s="14" t="s">
        <v>529</v>
      </c>
      <c r="G1263" s="11"/>
      <c r="H1263" s="11"/>
      <c r="I1263" s="12">
        <v>0</v>
      </c>
      <c r="J1263" s="12">
        <v>0</v>
      </c>
      <c r="K1263" s="13" t="str">
        <f t="shared" si="260"/>
        <v>Twitter for Android</v>
      </c>
      <c r="L1263" s="12">
        <v>185</v>
      </c>
      <c r="M1263" s="12">
        <v>575</v>
      </c>
      <c r="N1263" s="12">
        <v>6</v>
      </c>
      <c r="O1263" s="15"/>
      <c r="P1263" s="6">
        <v>40503.380740740744</v>
      </c>
      <c r="Q1263" s="16" t="s">
        <v>38</v>
      </c>
      <c r="R1263" s="17" t="s">
        <v>2953</v>
      </c>
      <c r="S1263" s="14" t="s">
        <v>2954</v>
      </c>
      <c r="T1263" s="11"/>
      <c r="U1263" s="10" t="str">
        <f>HYPERLINK("https://pbs.twimg.com/profile_images/1055061366241935360/lsORxsiX.jpg","View")</f>
        <v>View</v>
      </c>
    </row>
    <row r="1264" spans="1:21" ht="40.799999999999997">
      <c r="A1264" s="6">
        <v>43426.021087962959</v>
      </c>
      <c r="B1264" s="7" t="str">
        <f>HYPERLINK("https://twitter.com/AdeSiracusa","@AdeSiracusa")</f>
        <v>@AdeSiracusa</v>
      </c>
      <c r="C1264" s="8" t="s">
        <v>3890</v>
      </c>
      <c r="D1264" s="9" t="s">
        <v>6308</v>
      </c>
      <c r="E1264" s="10" t="str">
        <f>HYPERLINK("https://twitter.com/AdeSiracusa/status/1065522866391789568","1065522866391789568")</f>
        <v>1065522866391789568</v>
      </c>
      <c r="F1264" s="11"/>
      <c r="G1264" s="11"/>
      <c r="H1264" s="11"/>
      <c r="I1264" s="12">
        <v>0</v>
      </c>
      <c r="J1264" s="12">
        <v>0</v>
      </c>
      <c r="K1264" s="13" t="str">
        <f>HYPERLINK("http://www.republicosvenezuela.com/","AdeSiracusa")</f>
        <v>AdeSiracusa</v>
      </c>
      <c r="L1264" s="12">
        <v>3920</v>
      </c>
      <c r="M1264" s="12">
        <v>3927</v>
      </c>
      <c r="N1264" s="12">
        <v>12</v>
      </c>
      <c r="O1264" s="15"/>
      <c r="P1264" s="6">
        <v>42958.201388888891</v>
      </c>
      <c r="Q1264" s="16" t="s">
        <v>3893</v>
      </c>
      <c r="R1264" s="17" t="s">
        <v>3894</v>
      </c>
      <c r="S1264" s="11"/>
      <c r="T1264" s="11"/>
      <c r="U1264" s="10" t="str">
        <f>HYPERLINK("https://pbs.twimg.com/profile_images/895978354591105024/x2wNXrPl.jpg","View")</f>
        <v>View</v>
      </c>
    </row>
    <row r="1265" spans="1:21" ht="30.6">
      <c r="A1265" s="6">
        <v>43426.020949074074</v>
      </c>
      <c r="B1265" s="7" t="str">
        <f>HYPERLINK("https://twitter.com/carlosferiab","@carlosferiab")</f>
        <v>@carlosferiab</v>
      </c>
      <c r="C1265" s="8" t="s">
        <v>2956</v>
      </c>
      <c r="D1265" s="9" t="s">
        <v>2957</v>
      </c>
      <c r="E1265" s="10" t="str">
        <f>HYPERLINK("https://twitter.com/carlosferiab/status/1065522817062572032","1065522817062572032")</f>
        <v>1065522817062572032</v>
      </c>
      <c r="F1265" s="11"/>
      <c r="G1265" s="14" t="s">
        <v>2960</v>
      </c>
      <c r="H1265" s="11"/>
      <c r="I1265" s="12">
        <v>8</v>
      </c>
      <c r="J1265" s="12">
        <v>5</v>
      </c>
      <c r="K1265" s="13" t="str">
        <f>HYPERLINK("http://twitter.com","Twitter Web Client")</f>
        <v>Twitter Web Client</v>
      </c>
      <c r="L1265" s="12">
        <v>1517</v>
      </c>
      <c r="M1265" s="12">
        <v>2175</v>
      </c>
      <c r="N1265" s="12">
        <v>9</v>
      </c>
      <c r="O1265" s="15"/>
      <c r="P1265" s="6">
        <v>40791.597187499996</v>
      </c>
      <c r="Q1265" s="11"/>
      <c r="R1265" s="17" t="s">
        <v>2962</v>
      </c>
      <c r="S1265" s="14" t="s">
        <v>2963</v>
      </c>
      <c r="T1265" s="11"/>
      <c r="U1265" s="10" t="str">
        <f>HYPERLINK("https://pbs.twimg.com/profile_images/904248518977748997/SGRp-J9J.jpg","View")</f>
        <v>View</v>
      </c>
    </row>
    <row r="1266" spans="1:21" ht="40.799999999999997">
      <c r="A1266" s="6">
        <v>43426.020833333328</v>
      </c>
      <c r="B1266" s="7" t="str">
        <f>HYPERLINK("https://twitter.com/Torremolinos_On","@Torremolinos_On")</f>
        <v>@Torremolinos_On</v>
      </c>
      <c r="C1266" s="8" t="s">
        <v>6309</v>
      </c>
      <c r="D1266" s="9" t="s">
        <v>6310</v>
      </c>
      <c r="E1266" s="10" t="str">
        <f>HYPERLINK("https://twitter.com/Torremolinos_On/status/1065522774372888576","1065522774372888576")</f>
        <v>1065522774372888576</v>
      </c>
      <c r="F1266" s="14" t="s">
        <v>6311</v>
      </c>
      <c r="G1266" s="14" t="s">
        <v>6312</v>
      </c>
      <c r="H1266" s="11"/>
      <c r="I1266" s="12">
        <v>0</v>
      </c>
      <c r="J1266" s="12">
        <v>0</v>
      </c>
      <c r="K1266" s="13" t="str">
        <f t="shared" ref="K1266:K1267" si="261">HYPERLINK("https://about.twitter.com/products/tweetdeck","TweetDeck")</f>
        <v>TweetDeck</v>
      </c>
      <c r="L1266" s="12">
        <v>4511</v>
      </c>
      <c r="M1266" s="12">
        <v>1498</v>
      </c>
      <c r="N1266" s="12">
        <v>67</v>
      </c>
      <c r="O1266" s="15"/>
      <c r="P1266" s="6">
        <v>42030.010405092587</v>
      </c>
      <c r="Q1266" s="16" t="s">
        <v>6313</v>
      </c>
      <c r="R1266" s="17" t="s">
        <v>6314</v>
      </c>
      <c r="S1266" s="14" t="s">
        <v>6315</v>
      </c>
      <c r="T1266" s="11"/>
      <c r="U1266" s="10" t="str">
        <f>HYPERLINK("https://pbs.twimg.com/profile_images/1065553180744925186/YO8TIZeq.jpg","View")</f>
        <v>View</v>
      </c>
    </row>
    <row r="1267" spans="1:21" ht="40.799999999999997">
      <c r="A1267" s="6">
        <v>43426.020046296297</v>
      </c>
      <c r="B1267" s="7" t="str">
        <f>HYPERLINK("https://twitter.com/JosPastr","@JosPastr")</f>
        <v>@JosPastr</v>
      </c>
      <c r="C1267" s="8" t="s">
        <v>6316</v>
      </c>
      <c r="D1267" s="9" t="s">
        <v>6317</v>
      </c>
      <c r="E1267" s="10" t="str">
        <f>HYPERLINK("https://twitter.com/JosPastr/status/1065522489684574208","1065522489684574208")</f>
        <v>1065522489684574208</v>
      </c>
      <c r="F1267" s="11"/>
      <c r="G1267" s="11"/>
      <c r="H1267" s="11"/>
      <c r="I1267" s="12">
        <v>3014</v>
      </c>
      <c r="J1267" s="12">
        <v>5802</v>
      </c>
      <c r="K1267" s="13" t="str">
        <f t="shared" si="261"/>
        <v>TweetDeck</v>
      </c>
      <c r="L1267" s="12">
        <v>127846</v>
      </c>
      <c r="M1267" s="12">
        <v>896</v>
      </c>
      <c r="N1267" s="12">
        <v>712</v>
      </c>
      <c r="O1267" s="15"/>
      <c r="P1267" s="6">
        <v>40959.168009259258</v>
      </c>
      <c r="Q1267" s="16" t="s">
        <v>6318</v>
      </c>
      <c r="R1267" s="17" t="s">
        <v>6319</v>
      </c>
      <c r="S1267" s="11"/>
      <c r="T1267" s="11"/>
      <c r="U1267" s="10" t="str">
        <f>HYPERLINK("https://pbs.twimg.com/profile_images/947754298347278338/AbC_2PjL.jpg","View")</f>
        <v>View</v>
      </c>
    </row>
    <row r="1268" spans="1:21" ht="30.6">
      <c r="A1268" s="6">
        <v>43426.019965277781</v>
      </c>
      <c r="B1268" s="7" t="str">
        <f>HYPERLINK("https://twitter.com/hhmmss","@hhmmss")</f>
        <v>@hhmmss</v>
      </c>
      <c r="C1268" s="8" t="s">
        <v>6320</v>
      </c>
      <c r="D1268" s="9" t="s">
        <v>6321</v>
      </c>
      <c r="E1268" s="10" t="str">
        <f>HYPERLINK("https://twitter.com/hhmmss/status/1065522460840337408","1065522460840337408")</f>
        <v>1065522460840337408</v>
      </c>
      <c r="F1268" s="14" t="s">
        <v>96</v>
      </c>
      <c r="G1268" s="11"/>
      <c r="H1268" s="11"/>
      <c r="I1268" s="12">
        <v>0</v>
      </c>
      <c r="J1268" s="12">
        <v>0</v>
      </c>
      <c r="K1268" s="13" t="str">
        <f>HYPERLINK("http://twitter.com/download/iphone","Twitter for iPhone")</f>
        <v>Twitter for iPhone</v>
      </c>
      <c r="L1268" s="12">
        <v>206</v>
      </c>
      <c r="M1268" s="12">
        <v>146</v>
      </c>
      <c r="N1268" s="12">
        <v>32</v>
      </c>
      <c r="O1268" s="15"/>
      <c r="P1268" s="6">
        <v>39252.315162037034</v>
      </c>
      <c r="Q1268" s="16" t="s">
        <v>6322</v>
      </c>
      <c r="R1268" s="17" t="s">
        <v>6323</v>
      </c>
      <c r="S1268" s="11"/>
      <c r="T1268" s="11"/>
      <c r="U1268" s="10" t="str">
        <f>HYPERLINK("https://pbs.twimg.com/profile_images/523417692364365824/fYquUwd8.jpeg","View")</f>
        <v>View</v>
      </c>
    </row>
    <row r="1269" spans="1:21" ht="20.399999999999999">
      <c r="A1269" s="6">
        <v>43426.019201388888</v>
      </c>
      <c r="B1269" s="7" t="str">
        <f>HYPERLINK("https://twitter.com/Rubio53Rubio","@Rubio53Rubio")</f>
        <v>@Rubio53Rubio</v>
      </c>
      <c r="C1269" s="8" t="s">
        <v>6324</v>
      </c>
      <c r="D1269" s="9" t="s">
        <v>768</v>
      </c>
      <c r="E1269" s="10" t="str">
        <f>HYPERLINK("https://twitter.com/Rubio53Rubio/status/1065522184406396928","1065522184406396928")</f>
        <v>1065522184406396928</v>
      </c>
      <c r="F1269" s="14" t="s">
        <v>529</v>
      </c>
      <c r="G1269" s="11"/>
      <c r="H1269" s="11"/>
      <c r="I1269" s="12">
        <v>0</v>
      </c>
      <c r="J1269" s="12">
        <v>0</v>
      </c>
      <c r="K1269" s="13" t="str">
        <f>HYPERLINK("http://twitter.com/download/android","Twitter for Android")</f>
        <v>Twitter for Android</v>
      </c>
      <c r="L1269" s="12">
        <v>32</v>
      </c>
      <c r="M1269" s="12">
        <v>65</v>
      </c>
      <c r="N1269" s="12">
        <v>0</v>
      </c>
      <c r="O1269" s="15"/>
      <c r="P1269" s="6">
        <v>43162.084652777776</v>
      </c>
      <c r="Q1269" s="11"/>
      <c r="R1269" s="19"/>
      <c r="S1269" s="11"/>
      <c r="T1269" s="11"/>
      <c r="U1269" s="10" t="str">
        <f>HYPERLINK("https://pbs.twimg.com/profile_images/972771196268883968/bgT3bxR0.jpg","View")</f>
        <v>View</v>
      </c>
    </row>
    <row r="1270" spans="1:21" ht="30.6">
      <c r="A1270" s="6">
        <v>43426.019155092596</v>
      </c>
      <c r="B1270" s="7" t="str">
        <f>HYPERLINK("https://twitter.com/BusySPA","@BusySPA")</f>
        <v>@BusySPA</v>
      </c>
      <c r="C1270" s="8" t="s">
        <v>5946</v>
      </c>
      <c r="D1270" s="9" t="s">
        <v>6325</v>
      </c>
      <c r="E1270" s="10" t="str">
        <f>HYPERLINK("https://twitter.com/BusySPA/status/1065522164667949056","1065522164667949056")</f>
        <v>1065522164667949056</v>
      </c>
      <c r="F1270" s="11"/>
      <c r="G1270" s="11"/>
      <c r="H1270" s="11"/>
      <c r="I1270" s="12">
        <v>0</v>
      </c>
      <c r="J1270" s="12">
        <v>2</v>
      </c>
      <c r="K1270" s="13" t="str">
        <f>HYPERLINK("http://twitter.com","Twitter Web Client")</f>
        <v>Twitter Web Client</v>
      </c>
      <c r="L1270" s="12">
        <v>375</v>
      </c>
      <c r="M1270" s="12">
        <v>98</v>
      </c>
      <c r="N1270" s="12">
        <v>18</v>
      </c>
      <c r="O1270" s="15"/>
      <c r="P1270" s="6">
        <v>40282.574212962965</v>
      </c>
      <c r="Q1270" s="16" t="s">
        <v>5948</v>
      </c>
      <c r="R1270" s="17" t="s">
        <v>5949</v>
      </c>
      <c r="S1270" s="14" t="s">
        <v>5950</v>
      </c>
      <c r="T1270" s="11"/>
      <c r="U1270" s="10" t="str">
        <f>HYPERLINK("https://pbs.twimg.com/profile_images/900406577370365955/4S3LC4j2.jpg","View")</f>
        <v>View</v>
      </c>
    </row>
    <row r="1271" spans="1:21" ht="40.799999999999997">
      <c r="A1271" s="6">
        <v>43426.018842592588</v>
      </c>
      <c r="B1271" s="7" t="str">
        <f>HYPERLINK("https://twitter.com/manuelansede","@manuelansede")</f>
        <v>@manuelansede</v>
      </c>
      <c r="C1271" s="8" t="s">
        <v>2964</v>
      </c>
      <c r="D1271" s="9" t="s">
        <v>2965</v>
      </c>
      <c r="E1271" s="10" t="str">
        <f>HYPERLINK("https://twitter.com/manuelansede/status/1065522053099544576","1065522053099544576")</f>
        <v>1065522053099544576</v>
      </c>
      <c r="F1271" s="14" t="s">
        <v>529</v>
      </c>
      <c r="G1271" s="11"/>
      <c r="H1271" s="11"/>
      <c r="I1271" s="12">
        <v>0</v>
      </c>
      <c r="J1271" s="12">
        <v>0</v>
      </c>
      <c r="K1271" s="13" t="str">
        <f>HYPERLINK("http://twitter.com/download/android","Twitter for Android")</f>
        <v>Twitter for Android</v>
      </c>
      <c r="L1271" s="12">
        <v>11515</v>
      </c>
      <c r="M1271" s="12">
        <v>2693</v>
      </c>
      <c r="N1271" s="12">
        <v>467</v>
      </c>
      <c r="O1271" s="15"/>
      <c r="P1271" s="6">
        <v>40160.617928240739</v>
      </c>
      <c r="Q1271" s="11"/>
      <c r="R1271" s="17" t="s">
        <v>2966</v>
      </c>
      <c r="S1271" s="14" t="s">
        <v>2967</v>
      </c>
      <c r="T1271" s="11"/>
      <c r="U1271" s="10" t="str">
        <f>HYPERLINK("https://pbs.twimg.com/profile_images/893074705137057793/577aENCE.jpg","View")</f>
        <v>View</v>
      </c>
    </row>
    <row r="1272" spans="1:21" ht="51">
      <c r="A1272" s="6">
        <v>43426.018437499995</v>
      </c>
      <c r="B1272" s="7" t="str">
        <f>HYPERLINK("https://twitter.com/EricRogal","@EricRogal")</f>
        <v>@EricRogal</v>
      </c>
      <c r="C1272" s="8" t="s">
        <v>6245</v>
      </c>
      <c r="D1272" s="9" t="s">
        <v>6326</v>
      </c>
      <c r="E1272" s="10" t="str">
        <f>HYPERLINK("https://twitter.com/EricRogal/status/1065521904625336320","1065521904625336320")</f>
        <v>1065521904625336320</v>
      </c>
      <c r="F1272" s="11"/>
      <c r="G1272" s="11"/>
      <c r="H1272" s="11"/>
      <c r="I1272" s="12">
        <v>0</v>
      </c>
      <c r="J1272" s="12">
        <v>0</v>
      </c>
      <c r="K1272" s="13" t="str">
        <f>HYPERLINK("http://twitter.com","Twitter Web Client")</f>
        <v>Twitter Web Client</v>
      </c>
      <c r="L1272" s="12">
        <v>631</v>
      </c>
      <c r="M1272" s="12">
        <v>424</v>
      </c>
      <c r="N1272" s="12">
        <v>8</v>
      </c>
      <c r="O1272" s="15"/>
      <c r="P1272" s="6">
        <v>41579.244930555556</v>
      </c>
      <c r="Q1272" s="11"/>
      <c r="R1272" s="17" t="s">
        <v>6247</v>
      </c>
      <c r="S1272" s="11"/>
      <c r="T1272" s="11"/>
      <c r="U1272" s="10" t="str">
        <f>HYPERLINK("https://pbs.twimg.com/profile_images/1062795509054820358/MRG79ht7.jpg","View")</f>
        <v>View</v>
      </c>
    </row>
    <row r="1273" spans="1:21" ht="51">
      <c r="A1273" s="6">
        <v>43426.017916666664</v>
      </c>
      <c r="B1273" s="7" t="str">
        <f>HYPERLINK("https://twitter.com/blogsocietat","@blogsocietat")</f>
        <v>@blogsocietat</v>
      </c>
      <c r="C1273" s="8" t="s">
        <v>6327</v>
      </c>
      <c r="D1273" s="9" t="s">
        <v>6328</v>
      </c>
      <c r="E1273" s="10" t="str">
        <f>HYPERLINK("https://twitter.com/blogsocietat/status/1065521719195115520","1065521719195115520")</f>
        <v>1065521719195115520</v>
      </c>
      <c r="F1273" s="11"/>
      <c r="G1273" s="11"/>
      <c r="H1273" s="11"/>
      <c r="I1273" s="12">
        <v>348</v>
      </c>
      <c r="J1273" s="12">
        <v>711</v>
      </c>
      <c r="K1273" s="13" t="str">
        <f>HYPERLINK("http://twitter.com/download/android","Twitter for Android")</f>
        <v>Twitter for Android</v>
      </c>
      <c r="L1273" s="12">
        <v>17950</v>
      </c>
      <c r="M1273" s="12">
        <v>2386</v>
      </c>
      <c r="N1273" s="12">
        <v>132</v>
      </c>
      <c r="O1273" s="15"/>
      <c r="P1273" s="6">
        <v>40539.637303240743</v>
      </c>
      <c r="Q1273" s="11"/>
      <c r="R1273" s="17" t="s">
        <v>6329</v>
      </c>
      <c r="S1273" s="14" t="s">
        <v>6330</v>
      </c>
      <c r="T1273" s="11"/>
      <c r="U1273" s="10" t="str">
        <f>HYPERLINK("https://pbs.twimg.com/profile_images/1043821865070940160/sYPA3rAv.jpg","View")</f>
        <v>View</v>
      </c>
    </row>
    <row r="1274" spans="1:21" ht="71.400000000000006">
      <c r="A1274" s="6">
        <v>43426.017835648148</v>
      </c>
      <c r="B1274" s="7" t="str">
        <f>HYPERLINK("https://twitter.com/mariafe59489540","@mariafe59489540")</f>
        <v>@mariafe59489540</v>
      </c>
      <c r="C1274" s="8" t="s">
        <v>2968</v>
      </c>
      <c r="D1274" s="9" t="s">
        <v>2969</v>
      </c>
      <c r="E1274" s="10" t="str">
        <f>HYPERLINK("https://twitter.com/mariafe59489540/status/1065521687276519424","1065521687276519424")</f>
        <v>1065521687276519424</v>
      </c>
      <c r="F1274" s="11"/>
      <c r="G1274" s="11"/>
      <c r="H1274" s="11"/>
      <c r="I1274" s="12">
        <v>2</v>
      </c>
      <c r="J1274" s="12">
        <v>2</v>
      </c>
      <c r="K1274" s="13" t="str">
        <f t="shared" ref="K1274:K1276" si="262">HYPERLINK("http://twitter.com","Twitter Web Client")</f>
        <v>Twitter Web Client</v>
      </c>
      <c r="L1274" s="12">
        <v>117</v>
      </c>
      <c r="M1274" s="12">
        <v>29</v>
      </c>
      <c r="N1274" s="12">
        <v>0</v>
      </c>
      <c r="O1274" s="15"/>
      <c r="P1274" s="6">
        <v>42911.612083333333</v>
      </c>
      <c r="Q1274" s="16" t="s">
        <v>28</v>
      </c>
      <c r="R1274" s="17" t="s">
        <v>2970</v>
      </c>
      <c r="S1274" s="11"/>
      <c r="T1274" s="11"/>
      <c r="U1274" s="10" t="str">
        <f>HYPERLINK("https://pbs.twimg.com/profile_images/881911296157003777/gXxvYoDV.jpg","View")</f>
        <v>View</v>
      </c>
    </row>
    <row r="1275" spans="1:21" ht="30.6">
      <c r="A1275" s="6">
        <v>43426.017766203702</v>
      </c>
      <c r="B1275" s="7" t="str">
        <f>HYPERLINK("https://twitter.com/Kudzu_Adams","@Kudzu_Adams")</f>
        <v>@Kudzu_Adams</v>
      </c>
      <c r="C1275" s="8" t="s">
        <v>6331</v>
      </c>
      <c r="D1275" s="9" t="s">
        <v>6332</v>
      </c>
      <c r="E1275" s="10" t="str">
        <f>HYPERLINK("https://twitter.com/Kudzu_Adams/status/1065521664253775872","1065521664253775872")</f>
        <v>1065521664253775872</v>
      </c>
      <c r="F1275" s="11"/>
      <c r="G1275" s="11"/>
      <c r="H1275" s="11"/>
      <c r="I1275" s="12">
        <v>0</v>
      </c>
      <c r="J1275" s="12">
        <v>0</v>
      </c>
      <c r="K1275" s="13" t="str">
        <f t="shared" si="262"/>
        <v>Twitter Web Client</v>
      </c>
      <c r="L1275" s="12">
        <v>1071</v>
      </c>
      <c r="M1275" s="12">
        <v>2599</v>
      </c>
      <c r="N1275" s="12">
        <v>7</v>
      </c>
      <c r="O1275" s="15"/>
      <c r="P1275" s="6">
        <v>42687.501180555555</v>
      </c>
      <c r="Q1275" s="16" t="s">
        <v>6333</v>
      </c>
      <c r="R1275" s="17" t="s">
        <v>6334</v>
      </c>
      <c r="S1275" s="14" t="s">
        <v>6335</v>
      </c>
      <c r="T1275" s="11"/>
      <c r="U1275" s="10" t="str">
        <f>HYPERLINK("https://pbs.twimg.com/profile_images/1056498234456186881/ODnAhE7Q.jpg","View")</f>
        <v>View</v>
      </c>
    </row>
    <row r="1276" spans="1:21" ht="20.399999999999999">
      <c r="A1276" s="6">
        <v>43426.016643518524</v>
      </c>
      <c r="B1276" s="7" t="str">
        <f>HYPERLINK("https://twitter.com/peredamon","@peredamon")</f>
        <v>@peredamon</v>
      </c>
      <c r="C1276" s="8" t="s">
        <v>6336</v>
      </c>
      <c r="D1276" s="9" t="s">
        <v>768</v>
      </c>
      <c r="E1276" s="10" t="str">
        <f>HYPERLINK("https://twitter.com/peredamon/status/1065521258031398912","1065521258031398912")</f>
        <v>1065521258031398912</v>
      </c>
      <c r="F1276" s="14" t="s">
        <v>529</v>
      </c>
      <c r="G1276" s="11"/>
      <c r="H1276" s="11"/>
      <c r="I1276" s="12">
        <v>0</v>
      </c>
      <c r="J1276" s="12">
        <v>0</v>
      </c>
      <c r="K1276" s="13" t="str">
        <f t="shared" si="262"/>
        <v>Twitter Web Client</v>
      </c>
      <c r="L1276" s="12">
        <v>20</v>
      </c>
      <c r="M1276" s="12">
        <v>117</v>
      </c>
      <c r="N1276" s="12">
        <v>0</v>
      </c>
      <c r="O1276" s="15"/>
      <c r="P1276" s="6">
        <v>41813.145381944443</v>
      </c>
      <c r="Q1276" s="16" t="s">
        <v>38</v>
      </c>
      <c r="R1276" s="19"/>
      <c r="S1276" s="11"/>
      <c r="T1276" s="11"/>
      <c r="U1276" s="10" t="str">
        <f>HYPERLINK("https://pbs.twimg.com/profile_images/764880568974733312/W9nf04Pt.jpg","View")</f>
        <v>View</v>
      </c>
    </row>
    <row r="1277" spans="1:21" ht="20.399999999999999">
      <c r="A1277" s="6">
        <v>43426.01630787037</v>
      </c>
      <c r="B1277" s="7" t="str">
        <f>HYPERLINK("https://twitter.com/cherif_habadi","@cherif_habadi")</f>
        <v>@cherif_habadi</v>
      </c>
      <c r="C1277" s="8" t="s">
        <v>6337</v>
      </c>
      <c r="D1277" s="9" t="s">
        <v>768</v>
      </c>
      <c r="E1277" s="10" t="str">
        <f>HYPERLINK("https://twitter.com/cherif_habadi/status/1065521134953775104","1065521134953775104")</f>
        <v>1065521134953775104</v>
      </c>
      <c r="F1277" s="14" t="s">
        <v>529</v>
      </c>
      <c r="G1277" s="11"/>
      <c r="H1277" s="11"/>
      <c r="I1277" s="12">
        <v>0</v>
      </c>
      <c r="J1277" s="12">
        <v>0</v>
      </c>
      <c r="K1277" s="13" t="str">
        <f>HYPERLINK("http://twitter.com/download/android","Twitter for Android")</f>
        <v>Twitter for Android</v>
      </c>
      <c r="L1277" s="12">
        <v>225</v>
      </c>
      <c r="M1277" s="12">
        <v>234</v>
      </c>
      <c r="N1277" s="12">
        <v>11</v>
      </c>
      <c r="O1277" s="15"/>
      <c r="P1277" s="6">
        <v>41174.287615740745</v>
      </c>
      <c r="Q1277" s="16" t="s">
        <v>6338</v>
      </c>
      <c r="R1277" s="17" t="s">
        <v>6339</v>
      </c>
      <c r="S1277" s="11"/>
      <c r="T1277" s="11"/>
      <c r="U1277" s="10" t="str">
        <f>HYPERLINK("https://pbs.twimg.com/profile_images/417091174311395328/D15VfTNX.jpeg","View")</f>
        <v>View</v>
      </c>
    </row>
    <row r="1278" spans="1:21" ht="30.6">
      <c r="A1278" s="6">
        <v>43426.015925925924</v>
      </c>
      <c r="B1278" s="7" t="str">
        <f>HYPERLINK("https://twitter.com/XavierDomenechs","@XavierDomenechs")</f>
        <v>@XavierDomenechs</v>
      </c>
      <c r="C1278" s="8" t="s">
        <v>2973</v>
      </c>
      <c r="D1278" s="9" t="s">
        <v>2974</v>
      </c>
      <c r="E1278" s="10" t="str">
        <f>HYPERLINK("https://twitter.com/XavierDomenechs/status/1065520994046156800","1065520994046156800")</f>
        <v>1065520994046156800</v>
      </c>
      <c r="F1278" s="14" t="s">
        <v>96</v>
      </c>
      <c r="G1278" s="11"/>
      <c r="H1278" s="11"/>
      <c r="I1278" s="12">
        <v>53</v>
      </c>
      <c r="J1278" s="12">
        <v>151</v>
      </c>
      <c r="K1278" s="13" t="str">
        <f t="shared" ref="K1278:K1281" si="263">HYPERLINK("http://twitter.com","Twitter Web Client")</f>
        <v>Twitter Web Client</v>
      </c>
      <c r="L1278" s="12">
        <v>75189</v>
      </c>
      <c r="M1278" s="12">
        <v>1903</v>
      </c>
      <c r="N1278" s="12">
        <v>713</v>
      </c>
      <c r="O1278" s="18" t="s">
        <v>52</v>
      </c>
      <c r="P1278" s="6">
        <v>40436.391574074078</v>
      </c>
      <c r="Q1278" s="11"/>
      <c r="R1278" s="17" t="s">
        <v>2976</v>
      </c>
      <c r="S1278" s="14" t="s">
        <v>2977</v>
      </c>
      <c r="T1278" s="11"/>
      <c r="U1278" s="10" t="str">
        <f>HYPERLINK("https://pbs.twimg.com/profile_images/1013797150315155456/gikzbIln.jpg","View")</f>
        <v>View</v>
      </c>
    </row>
    <row r="1279" spans="1:21" ht="51">
      <c r="A1279" s="6">
        <v>43426.015775462962</v>
      </c>
      <c r="B1279" s="7" t="str">
        <f>HYPERLINK("https://twitter.com/comoestaestpais","@comoestaestpais")</f>
        <v>@comoestaestpais</v>
      </c>
      <c r="C1279" s="8" t="s">
        <v>6340</v>
      </c>
      <c r="D1279" s="9" t="s">
        <v>6341</v>
      </c>
      <c r="E1279" s="10" t="str">
        <f>HYPERLINK("https://twitter.com/comoestaestpais/status/1065520940245819392","1065520940245819392")</f>
        <v>1065520940245819392</v>
      </c>
      <c r="F1279" s="11"/>
      <c r="G1279" s="11"/>
      <c r="H1279" s="11"/>
      <c r="I1279" s="12">
        <v>0</v>
      </c>
      <c r="J1279" s="12">
        <v>1</v>
      </c>
      <c r="K1279" s="13" t="str">
        <f t="shared" si="263"/>
        <v>Twitter Web Client</v>
      </c>
      <c r="L1279" s="12">
        <v>7</v>
      </c>
      <c r="M1279" s="12">
        <v>50</v>
      </c>
      <c r="N1279" s="12">
        <v>0</v>
      </c>
      <c r="O1279" s="15"/>
      <c r="P1279" s="6">
        <v>43028.595393518517</v>
      </c>
      <c r="Q1279" s="11"/>
      <c r="R1279" s="19"/>
      <c r="S1279" s="11"/>
      <c r="T1279" s="11"/>
      <c r="U1279" s="10" t="str">
        <f>HYPERLINK("https://pbs.twimg.com/profile_images/921893342971158530/qstU2w8X.jpg","View")</f>
        <v>View</v>
      </c>
    </row>
    <row r="1280" spans="1:21" ht="20.399999999999999">
      <c r="A1280" s="6">
        <v>43426.01561342593</v>
      </c>
      <c r="B1280" s="7" t="str">
        <f>HYPERLINK("https://twitter.com/pacojesusg","@pacojesusg")</f>
        <v>@pacojesusg</v>
      </c>
      <c r="C1280" s="8" t="s">
        <v>6342</v>
      </c>
      <c r="D1280" s="9" t="s">
        <v>6343</v>
      </c>
      <c r="E1280" s="10" t="str">
        <f>HYPERLINK("https://twitter.com/pacojesusg/status/1065520884268630016","1065520884268630016")</f>
        <v>1065520884268630016</v>
      </c>
      <c r="F1280" s="14" t="s">
        <v>529</v>
      </c>
      <c r="G1280" s="11"/>
      <c r="H1280" s="11"/>
      <c r="I1280" s="12">
        <v>3</v>
      </c>
      <c r="J1280" s="12">
        <v>3</v>
      </c>
      <c r="K1280" s="13" t="str">
        <f t="shared" si="263"/>
        <v>Twitter Web Client</v>
      </c>
      <c r="L1280" s="12">
        <v>57</v>
      </c>
      <c r="M1280" s="12">
        <v>182</v>
      </c>
      <c r="N1280" s="12">
        <v>1</v>
      </c>
      <c r="O1280" s="15"/>
      <c r="P1280" s="6">
        <v>42575.351689814815</v>
      </c>
      <c r="Q1280" s="11"/>
      <c r="R1280" s="17" t="s">
        <v>6344</v>
      </c>
      <c r="S1280" s="11"/>
      <c r="T1280" s="11"/>
      <c r="U1280" s="10" t="str">
        <f>HYPERLINK("https://pbs.twimg.com/profile_images/757239155810263041/FjWZUhLf.jpg","View")</f>
        <v>View</v>
      </c>
    </row>
    <row r="1281" spans="1:21" ht="40.799999999999997">
      <c r="A1281" s="6">
        <v>43426.015462962961</v>
      </c>
      <c r="B1281" s="7" t="str">
        <f>HYPERLINK("https://twitter.com/MARRAQUELmg","@MARRAQUELmg")</f>
        <v>@MARRAQUELmg</v>
      </c>
      <c r="C1281" s="8" t="s">
        <v>6345</v>
      </c>
      <c r="D1281" s="9" t="s">
        <v>6346</v>
      </c>
      <c r="E1281" s="10" t="str">
        <f>HYPERLINK("https://twitter.com/MARRAQUELmg/status/1065520826332663808","1065520826332663808")</f>
        <v>1065520826332663808</v>
      </c>
      <c r="F1281" s="14" t="s">
        <v>529</v>
      </c>
      <c r="G1281" s="11"/>
      <c r="H1281" s="11"/>
      <c r="I1281" s="12">
        <v>1</v>
      </c>
      <c r="J1281" s="12">
        <v>2</v>
      </c>
      <c r="K1281" s="13" t="str">
        <f t="shared" si="263"/>
        <v>Twitter Web Client</v>
      </c>
      <c r="L1281" s="12">
        <v>187</v>
      </c>
      <c r="M1281" s="12">
        <v>315</v>
      </c>
      <c r="N1281" s="12">
        <v>2</v>
      </c>
      <c r="O1281" s="15"/>
      <c r="P1281" s="6">
        <v>41929.494317129633</v>
      </c>
      <c r="Q1281" s="16" t="s">
        <v>6347</v>
      </c>
      <c r="R1281" s="17" t="s">
        <v>6348</v>
      </c>
      <c r="S1281" s="11"/>
      <c r="T1281" s="11"/>
      <c r="U1281" s="10" t="str">
        <f>HYPERLINK("https://pbs.twimg.com/profile_images/524170111582629888/OSMjRlOc.jpeg","View")</f>
        <v>View</v>
      </c>
    </row>
    <row r="1282" spans="1:21" ht="51">
      <c r="A1282" s="6">
        <v>43426.014745370368</v>
      </c>
      <c r="B1282" s="7" t="str">
        <f>HYPERLINK("https://twitter.com/santesteve_ONU","@santesteve_ONU")</f>
        <v>@santesteve_ONU</v>
      </c>
      <c r="C1282" s="8" t="s">
        <v>2978</v>
      </c>
      <c r="D1282" s="9" t="s">
        <v>2979</v>
      </c>
      <c r="E1282" s="10" t="str">
        <f>HYPERLINK("https://twitter.com/santesteve_ONU/status/1065520568756252672","1065520568756252672")</f>
        <v>1065520568756252672</v>
      </c>
      <c r="F1282" s="11"/>
      <c r="G1282" s="11"/>
      <c r="H1282" s="11"/>
      <c r="I1282" s="12">
        <v>0</v>
      </c>
      <c r="J1282" s="12">
        <v>0</v>
      </c>
      <c r="K1282" s="13" t="str">
        <f>HYPERLINK("http://twitter.com/download/android","Twitter for Android")</f>
        <v>Twitter for Android</v>
      </c>
      <c r="L1282" s="12">
        <v>338</v>
      </c>
      <c r="M1282" s="12">
        <v>871</v>
      </c>
      <c r="N1282" s="12">
        <v>1</v>
      </c>
      <c r="O1282" s="15"/>
      <c r="P1282" s="6">
        <v>43341.474293981482</v>
      </c>
      <c r="Q1282" s="11"/>
      <c r="R1282" s="17" t="s">
        <v>2982</v>
      </c>
      <c r="S1282" s="11"/>
      <c r="T1282" s="11"/>
      <c r="U1282" s="10" t="str">
        <f>HYPERLINK("https://pbs.twimg.com/profile_images/1062839306597863424/FVqbHSMd.jpg","View")</f>
        <v>View</v>
      </c>
    </row>
    <row r="1283" spans="1:21" ht="51">
      <c r="A1283" s="6">
        <v>43426.014479166668</v>
      </c>
      <c r="B1283" s="7" t="str">
        <f>HYPERLINK("https://twitter.com/ahorapodemos","@ahorapodemos")</f>
        <v>@ahorapodemos</v>
      </c>
      <c r="C1283" s="8" t="s">
        <v>48</v>
      </c>
      <c r="D1283" s="9" t="s">
        <v>2985</v>
      </c>
      <c r="E1283" s="10" t="str">
        <f>HYPERLINK("https://twitter.com/ahorapodemos/status/1065520473692360704","1065520473692360704")</f>
        <v>1065520473692360704</v>
      </c>
      <c r="F1283" s="14" t="s">
        <v>96</v>
      </c>
      <c r="G1283" s="14" t="s">
        <v>2988</v>
      </c>
      <c r="H1283" s="11"/>
      <c r="I1283" s="12">
        <v>58</v>
      </c>
      <c r="J1283" s="12">
        <v>71</v>
      </c>
      <c r="K1283" s="13" t="str">
        <f>HYPERLINK("https://studio.twitter.com","Media Studio")</f>
        <v>Media Studio</v>
      </c>
      <c r="L1283" s="12">
        <v>1338987</v>
      </c>
      <c r="M1283" s="12">
        <v>1529</v>
      </c>
      <c r="N1283" s="12">
        <v>5654</v>
      </c>
      <c r="O1283" s="18" t="s">
        <v>52</v>
      </c>
      <c r="P1283" s="6">
        <v>41651.201979166668</v>
      </c>
      <c r="Q1283" s="16" t="s">
        <v>54</v>
      </c>
      <c r="R1283" s="17" t="s">
        <v>56</v>
      </c>
      <c r="S1283" s="14" t="s">
        <v>58</v>
      </c>
      <c r="T1283" s="11"/>
      <c r="U1283" s="10" t="str">
        <f>HYPERLINK("https://pbs.twimg.com/profile_images/1036536413548892160/J0K-j7cz.jpg","View")</f>
        <v>View</v>
      </c>
    </row>
    <row r="1284" spans="1:21" ht="20.399999999999999">
      <c r="A1284" s="6">
        <v>43426.014363425929</v>
      </c>
      <c r="B1284" s="7" t="str">
        <f>HYPERLINK("https://twitter.com/JulioPazos","@JulioPazos")</f>
        <v>@JulioPazos</v>
      </c>
      <c r="C1284" s="8" t="s">
        <v>6349</v>
      </c>
      <c r="D1284" s="9" t="s">
        <v>768</v>
      </c>
      <c r="E1284" s="10" t="str">
        <f>HYPERLINK("https://twitter.com/JulioPazos/status/1065520429564116992","1065520429564116992")</f>
        <v>1065520429564116992</v>
      </c>
      <c r="F1284" s="14" t="s">
        <v>529</v>
      </c>
      <c r="G1284" s="11"/>
      <c r="H1284" s="11"/>
      <c r="I1284" s="12">
        <v>0</v>
      </c>
      <c r="J1284" s="12">
        <v>0</v>
      </c>
      <c r="K1284" s="13" t="str">
        <f>HYPERLINK("http://twitter.com","Twitter Web Client")</f>
        <v>Twitter Web Client</v>
      </c>
      <c r="L1284" s="12">
        <v>928</v>
      </c>
      <c r="M1284" s="12">
        <v>1633</v>
      </c>
      <c r="N1284" s="12">
        <v>9</v>
      </c>
      <c r="O1284" s="15"/>
      <c r="P1284" s="6">
        <v>40419.154999999999</v>
      </c>
      <c r="Q1284" s="16" t="s">
        <v>6350</v>
      </c>
      <c r="R1284" s="17" t="s">
        <v>6351</v>
      </c>
      <c r="S1284" s="11"/>
      <c r="T1284" s="11"/>
      <c r="U1284" s="10" t="str">
        <f>HYPERLINK("https://pbs.twimg.com/profile_images/808792130856615936/VAa_dGOz.jpg","View")</f>
        <v>View</v>
      </c>
    </row>
    <row r="1285" spans="1:21" ht="51">
      <c r="A1285" s="6">
        <v>43426.014085648145</v>
      </c>
      <c r="B1285" s="7" t="str">
        <f>HYPERLINK("https://twitter.com/GloriaElizo","@GloriaElizo")</f>
        <v>@GloriaElizo</v>
      </c>
      <c r="C1285" s="8" t="s">
        <v>2993</v>
      </c>
      <c r="D1285" s="9" t="s">
        <v>2994</v>
      </c>
      <c r="E1285" s="10" t="str">
        <f>HYPERLINK("https://twitter.com/GloriaElizo/status/1065520329076940800","1065520329076940800")</f>
        <v>1065520329076940800</v>
      </c>
      <c r="F1285" s="14" t="s">
        <v>96</v>
      </c>
      <c r="G1285" s="11"/>
      <c r="H1285" s="11"/>
      <c r="I1285" s="12">
        <v>10</v>
      </c>
      <c r="J1285" s="12">
        <v>18</v>
      </c>
      <c r="K1285" s="13" t="str">
        <f>HYPERLINK("http://twitter.com/download/iphone","Twitter for iPhone")</f>
        <v>Twitter for iPhone</v>
      </c>
      <c r="L1285" s="12">
        <v>8667</v>
      </c>
      <c r="M1285" s="12">
        <v>985</v>
      </c>
      <c r="N1285" s="12">
        <v>169</v>
      </c>
      <c r="O1285" s="18" t="s">
        <v>52</v>
      </c>
      <c r="P1285" s="6">
        <v>40682.219363425924</v>
      </c>
      <c r="Q1285" s="11"/>
      <c r="R1285" s="17" t="s">
        <v>2997</v>
      </c>
      <c r="S1285" s="14" t="s">
        <v>2998</v>
      </c>
      <c r="T1285" s="11"/>
      <c r="U1285" s="10" t="str">
        <f>HYPERLINK("https://pbs.twimg.com/profile_images/922374852778086400/Zwfig7h7.jpg","View")</f>
        <v>View</v>
      </c>
    </row>
    <row r="1286" spans="1:21" ht="20.399999999999999">
      <c r="A1286" s="6">
        <v>43426.01363425926</v>
      </c>
      <c r="B1286" s="7" t="str">
        <f>HYPERLINK("https://twitter.com/oesanara","@oesanara")</f>
        <v>@oesanara</v>
      </c>
      <c r="C1286" s="8" t="s">
        <v>6352</v>
      </c>
      <c r="D1286" s="9" t="s">
        <v>3000</v>
      </c>
      <c r="E1286" s="10" t="str">
        <f>HYPERLINK("https://twitter.com/oesanara/status/1065520163624284160","1065520163624284160")</f>
        <v>1065520163624284160</v>
      </c>
      <c r="F1286" s="14" t="s">
        <v>5332</v>
      </c>
      <c r="G1286" s="11"/>
      <c r="H1286" s="11"/>
      <c r="I1286" s="12">
        <v>0</v>
      </c>
      <c r="J1286" s="12">
        <v>0</v>
      </c>
      <c r="K1286" s="13" t="str">
        <f>HYPERLINK("http://www.facebook.com/twitter","Facebook")</f>
        <v>Facebook</v>
      </c>
      <c r="L1286" s="12">
        <v>489</v>
      </c>
      <c r="M1286" s="12">
        <v>756</v>
      </c>
      <c r="N1286" s="12">
        <v>17</v>
      </c>
      <c r="O1286" s="15"/>
      <c r="P1286" s="6">
        <v>40640.313252314816</v>
      </c>
      <c r="Q1286" s="16" t="s">
        <v>6353</v>
      </c>
      <c r="R1286" s="17" t="s">
        <v>6354</v>
      </c>
      <c r="S1286" s="11"/>
      <c r="T1286" s="11"/>
      <c r="U1286" s="10" t="str">
        <f>HYPERLINK("https://pbs.twimg.com/profile_images/378800000695625333/625e65940da068a4c78443fee904cae0.jpeg","View")</f>
        <v>View</v>
      </c>
    </row>
    <row r="1287" spans="1:21" ht="40.799999999999997">
      <c r="A1287" s="6">
        <v>43426.013171296298</v>
      </c>
      <c r="B1287" s="7" t="str">
        <f>HYPERLINK("https://twitter.com/PodemosCMadrid","@PodemosCMadrid")</f>
        <v>@PodemosCMadrid</v>
      </c>
      <c r="C1287" s="8" t="s">
        <v>3002</v>
      </c>
      <c r="D1287" s="9" t="s">
        <v>3003</v>
      </c>
      <c r="E1287" s="10" t="str">
        <f>HYPERLINK("https://twitter.com/PodemosCMadrid/status/1065519997382995968","1065519997382995968")</f>
        <v>1065519997382995968</v>
      </c>
      <c r="F1287" s="14" t="s">
        <v>96</v>
      </c>
      <c r="G1287" s="14" t="s">
        <v>3005</v>
      </c>
      <c r="H1287" s="11"/>
      <c r="I1287" s="12">
        <v>39</v>
      </c>
      <c r="J1287" s="12">
        <v>55</v>
      </c>
      <c r="K1287" s="13" t="str">
        <f>HYPERLINK("https://about.twitter.com/products/tweetdeck","TweetDeck")</f>
        <v>TweetDeck</v>
      </c>
      <c r="L1287" s="12">
        <v>28290</v>
      </c>
      <c r="M1287" s="12">
        <v>1644</v>
      </c>
      <c r="N1287" s="12">
        <v>358</v>
      </c>
      <c r="O1287" s="18" t="s">
        <v>52</v>
      </c>
      <c r="P1287" s="6">
        <v>41739.316550925927</v>
      </c>
      <c r="Q1287" s="16" t="s">
        <v>3007</v>
      </c>
      <c r="R1287" s="17" t="s">
        <v>3008</v>
      </c>
      <c r="S1287" s="14" t="s">
        <v>3009</v>
      </c>
      <c r="T1287" s="11"/>
      <c r="U1287" s="10" t="str">
        <f>HYPERLINK("https://pbs.twimg.com/profile_images/1028977667608129536/vBt8cyA4.jpg","View")</f>
        <v>View</v>
      </c>
    </row>
    <row r="1288" spans="1:21" ht="40.799999999999997">
      <c r="A1288" s="6">
        <v>43426.01295138889</v>
      </c>
      <c r="B1288" s="7" t="str">
        <f>HYPERLINK("https://twitter.com/cultrun","@cultrun")</f>
        <v>@cultrun</v>
      </c>
      <c r="C1288" s="8" t="s">
        <v>6355</v>
      </c>
      <c r="D1288" s="9" t="s">
        <v>768</v>
      </c>
      <c r="E1288" s="10" t="str">
        <f>HYPERLINK("https://twitter.com/cultrun/status/1065519919045984257","1065519919045984257")</f>
        <v>1065519919045984257</v>
      </c>
      <c r="F1288" s="14" t="s">
        <v>529</v>
      </c>
      <c r="G1288" s="11"/>
      <c r="H1288" s="11"/>
      <c r="I1288" s="12">
        <v>6</v>
      </c>
      <c r="J1288" s="12">
        <v>4</v>
      </c>
      <c r="K1288" s="13" t="str">
        <f t="shared" ref="K1288:K1289" si="264">HYPERLINK("http://twitter.com/download/iphone","Twitter for iPhone")</f>
        <v>Twitter for iPhone</v>
      </c>
      <c r="L1288" s="12">
        <v>48259</v>
      </c>
      <c r="M1288" s="12">
        <v>2873</v>
      </c>
      <c r="N1288" s="12">
        <v>1275</v>
      </c>
      <c r="O1288" s="15"/>
      <c r="P1288" s="6">
        <v>39861.485497685186</v>
      </c>
      <c r="Q1288" s="16" t="s">
        <v>6356</v>
      </c>
      <c r="R1288" s="17" t="s">
        <v>6357</v>
      </c>
      <c r="S1288" s="14" t="s">
        <v>6358</v>
      </c>
      <c r="T1288" s="11"/>
      <c r="U1288" s="10" t="str">
        <f>HYPERLINK("https://pbs.twimg.com/profile_images/1017450243917598720/d4pMoQHM.jpg","View")</f>
        <v>View</v>
      </c>
    </row>
    <row r="1289" spans="1:21" ht="30.6">
      <c r="A1289" s="6">
        <v>43426.012800925921</v>
      </c>
      <c r="B1289" s="7" t="str">
        <f>HYPERLINK("https://twitter.com/manubenas","@manubenas")</f>
        <v>@manubenas</v>
      </c>
      <c r="C1289" s="8" t="s">
        <v>3013</v>
      </c>
      <c r="D1289" s="9" t="s">
        <v>3014</v>
      </c>
      <c r="E1289" s="10" t="str">
        <f>HYPERLINK("https://twitter.com/manubenas/status/1065519862242557952","1065519862242557952")</f>
        <v>1065519862242557952</v>
      </c>
      <c r="F1289" s="14" t="s">
        <v>96</v>
      </c>
      <c r="G1289" s="11"/>
      <c r="H1289" s="11"/>
      <c r="I1289" s="12">
        <v>0</v>
      </c>
      <c r="J1289" s="12">
        <v>0</v>
      </c>
      <c r="K1289" s="13" t="str">
        <f t="shared" si="264"/>
        <v>Twitter for iPhone</v>
      </c>
      <c r="L1289" s="12">
        <v>14307</v>
      </c>
      <c r="M1289" s="12">
        <v>7689</v>
      </c>
      <c r="N1289" s="12">
        <v>178</v>
      </c>
      <c r="O1289" s="15"/>
      <c r="P1289" s="6">
        <v>40620.218842592592</v>
      </c>
      <c r="Q1289" s="16" t="s">
        <v>3017</v>
      </c>
      <c r="R1289" s="17" t="s">
        <v>3018</v>
      </c>
      <c r="S1289" s="14" t="s">
        <v>3019</v>
      </c>
      <c r="T1289" s="11"/>
      <c r="U1289" s="10" t="str">
        <f>HYPERLINK("https://pbs.twimg.com/profile_images/879764619207876608/gTuKPNw2.jpg","View")</f>
        <v>View</v>
      </c>
    </row>
    <row r="1290" spans="1:21" ht="30.6">
      <c r="A1290" s="6">
        <v>43426.011550925927</v>
      </c>
      <c r="B1290" s="7" t="str">
        <f>HYPERLINK("https://twitter.com/Podemosesquivia","@Podemosesquivia")</f>
        <v>@Podemosesquivia</v>
      </c>
      <c r="C1290" s="8" t="s">
        <v>6360</v>
      </c>
      <c r="D1290" s="9" t="s">
        <v>6361</v>
      </c>
      <c r="E1290" s="10" t="str">
        <f>HYPERLINK("https://twitter.com/Podemosesquivia/status/1065519410394337280","1065519410394337280")</f>
        <v>1065519410394337280</v>
      </c>
      <c r="F1290" s="14" t="s">
        <v>96</v>
      </c>
      <c r="G1290" s="11"/>
      <c r="H1290" s="11"/>
      <c r="I1290" s="12">
        <v>3</v>
      </c>
      <c r="J1290" s="12">
        <v>2</v>
      </c>
      <c r="K1290" s="13" t="str">
        <f t="shared" ref="K1290:K1291" si="265">HYPERLINK("http://www.facebook.com/twitter","Facebook")</f>
        <v>Facebook</v>
      </c>
      <c r="L1290" s="12">
        <v>408</v>
      </c>
      <c r="M1290" s="12">
        <v>402</v>
      </c>
      <c r="N1290" s="12">
        <v>10</v>
      </c>
      <c r="O1290" s="15"/>
      <c r="P1290" s="6">
        <v>42066.39271990741</v>
      </c>
      <c r="Q1290" s="16" t="s">
        <v>6362</v>
      </c>
      <c r="R1290" s="17" t="s">
        <v>6363</v>
      </c>
      <c r="S1290" s="14" t="s">
        <v>6364</v>
      </c>
      <c r="T1290" s="11"/>
      <c r="U1290" s="10" t="str">
        <f>HYPERLINK("https://pbs.twimg.com/profile_images/971980629700001792/mv-q_yKC.jpg","View")</f>
        <v>View</v>
      </c>
    </row>
    <row r="1291" spans="1:21" ht="30.6">
      <c r="A1291" s="6">
        <v>43426.011354166665</v>
      </c>
      <c r="B1291" s="7" t="str">
        <f>HYPERLINK("https://twitter.com/JoseMonty69","@JoseMonty69")</f>
        <v>@JoseMonty69</v>
      </c>
      <c r="C1291" s="8" t="s">
        <v>6365</v>
      </c>
      <c r="D1291" s="9" t="s">
        <v>6361</v>
      </c>
      <c r="E1291" s="10" t="str">
        <f>HYPERLINK("https://twitter.com/JoseMonty69/status/1065519340550791169","1065519340550791169")</f>
        <v>1065519340550791169</v>
      </c>
      <c r="F1291" s="14" t="s">
        <v>96</v>
      </c>
      <c r="G1291" s="11"/>
      <c r="H1291" s="11"/>
      <c r="I1291" s="12">
        <v>0</v>
      </c>
      <c r="J1291" s="12">
        <v>0</v>
      </c>
      <c r="K1291" s="13" t="str">
        <f t="shared" si="265"/>
        <v>Facebook</v>
      </c>
      <c r="L1291" s="12">
        <v>460</v>
      </c>
      <c r="M1291" s="12">
        <v>691</v>
      </c>
      <c r="N1291" s="12">
        <v>3</v>
      </c>
      <c r="O1291" s="15"/>
      <c r="P1291" s="6">
        <v>40302.169351851851</v>
      </c>
      <c r="Q1291" s="16" t="s">
        <v>6366</v>
      </c>
      <c r="R1291" s="19"/>
      <c r="S1291" s="14" t="s">
        <v>6367</v>
      </c>
      <c r="T1291" s="11"/>
      <c r="U1291" s="10" t="str">
        <f>HYPERLINK("https://pbs.twimg.com/profile_images/830512816092221441/moewDx01.jpg","View")</f>
        <v>View</v>
      </c>
    </row>
    <row r="1292" spans="1:21" ht="30.6">
      <c r="A1292" s="6">
        <v>43426.011064814811</v>
      </c>
      <c r="B1292" s="7" t="str">
        <f>HYPERLINK("https://twitter.com/mangelherrero","@mangelherrero")</f>
        <v>@mangelherrero</v>
      </c>
      <c r="C1292" s="8" t="s">
        <v>3023</v>
      </c>
      <c r="D1292" s="9" t="s">
        <v>3024</v>
      </c>
      <c r="E1292" s="10" t="str">
        <f>HYPERLINK("https://twitter.com/mangelherrero/status/1065519232622964736","1065519232622964736")</f>
        <v>1065519232622964736</v>
      </c>
      <c r="F1292" s="14" t="s">
        <v>96</v>
      </c>
      <c r="G1292" s="11"/>
      <c r="H1292" s="11"/>
      <c r="I1292" s="12">
        <v>0</v>
      </c>
      <c r="J1292" s="12">
        <v>0</v>
      </c>
      <c r="K1292" s="13" t="str">
        <f t="shared" ref="K1292:K1294" si="266">HYPERLINK("http://twitter.com","Twitter Web Client")</f>
        <v>Twitter Web Client</v>
      </c>
      <c r="L1292" s="12">
        <v>518</v>
      </c>
      <c r="M1292" s="12">
        <v>444</v>
      </c>
      <c r="N1292" s="12">
        <v>24</v>
      </c>
      <c r="O1292" s="15"/>
      <c r="P1292" s="6">
        <v>40106.352175925924</v>
      </c>
      <c r="Q1292" s="16" t="s">
        <v>724</v>
      </c>
      <c r="R1292" s="17" t="s">
        <v>3025</v>
      </c>
      <c r="S1292" s="14" t="s">
        <v>3026</v>
      </c>
      <c r="T1292" s="11"/>
      <c r="U1292" s="10" t="str">
        <f>HYPERLINK("https://pbs.twimg.com/profile_images/458917991392890881/F_KNkuqM.jpeg","View")</f>
        <v>View</v>
      </c>
    </row>
    <row r="1293" spans="1:21" ht="20.399999999999999">
      <c r="A1293" s="6">
        <v>43426.010972222226</v>
      </c>
      <c r="B1293" s="7" t="str">
        <f>HYPERLINK("https://twitter.com/pacojesusg","@pacojesusg")</f>
        <v>@pacojesusg</v>
      </c>
      <c r="C1293" s="8" t="s">
        <v>6342</v>
      </c>
      <c r="D1293" s="9" t="s">
        <v>768</v>
      </c>
      <c r="E1293" s="10" t="str">
        <f>HYPERLINK("https://twitter.com/pacojesusg/status/1065519198795902976","1065519198795902976")</f>
        <v>1065519198795902976</v>
      </c>
      <c r="F1293" s="14" t="s">
        <v>529</v>
      </c>
      <c r="G1293" s="11"/>
      <c r="H1293" s="11"/>
      <c r="I1293" s="12">
        <v>2</v>
      </c>
      <c r="J1293" s="12">
        <v>2</v>
      </c>
      <c r="K1293" s="13" t="str">
        <f t="shared" si="266"/>
        <v>Twitter Web Client</v>
      </c>
      <c r="L1293" s="12">
        <v>57</v>
      </c>
      <c r="M1293" s="12">
        <v>182</v>
      </c>
      <c r="N1293" s="12">
        <v>1</v>
      </c>
      <c r="O1293" s="15"/>
      <c r="P1293" s="6">
        <v>42575.351689814815</v>
      </c>
      <c r="Q1293" s="11"/>
      <c r="R1293" s="17" t="s">
        <v>6344</v>
      </c>
      <c r="S1293" s="11"/>
      <c r="T1293" s="11"/>
      <c r="U1293" s="10" t="str">
        <f>HYPERLINK("https://pbs.twimg.com/profile_images/757239155810263041/FjWZUhLf.jpg","View")</f>
        <v>View</v>
      </c>
    </row>
    <row r="1294" spans="1:21" ht="40.799999999999997">
      <c r="A1294" s="6">
        <v>43426.010949074072</v>
      </c>
      <c r="B1294" s="7" t="str">
        <f>HYPERLINK("https://twitter.com/majony64","@majony64")</f>
        <v>@majony64</v>
      </c>
      <c r="C1294" s="8" t="s">
        <v>6368</v>
      </c>
      <c r="D1294" s="9" t="s">
        <v>6369</v>
      </c>
      <c r="E1294" s="10" t="str">
        <f>HYPERLINK("https://twitter.com/majony64/status/1065519190398955520","1065519190398955520")</f>
        <v>1065519190398955520</v>
      </c>
      <c r="F1294" s="14" t="s">
        <v>529</v>
      </c>
      <c r="G1294" s="11"/>
      <c r="H1294" s="11"/>
      <c r="I1294" s="12">
        <v>0</v>
      </c>
      <c r="J1294" s="12">
        <v>0</v>
      </c>
      <c r="K1294" s="13" t="str">
        <f t="shared" si="266"/>
        <v>Twitter Web Client</v>
      </c>
      <c r="L1294" s="12">
        <v>58</v>
      </c>
      <c r="M1294" s="12">
        <v>311</v>
      </c>
      <c r="N1294" s="12">
        <v>1</v>
      </c>
      <c r="O1294" s="15"/>
      <c r="P1294" s="6">
        <v>40664.412465277775</v>
      </c>
      <c r="Q1294" s="16" t="s">
        <v>28</v>
      </c>
      <c r="R1294" s="17" t="s">
        <v>6370</v>
      </c>
      <c r="S1294" s="11"/>
      <c r="T1294" s="11"/>
      <c r="U1294" s="10" t="str">
        <f>HYPERLINK("https://pbs.twimg.com/profile_images/485917207277633536/RFywutcA.jpeg","View")</f>
        <v>View</v>
      </c>
    </row>
    <row r="1295" spans="1:21" ht="20.399999999999999">
      <c r="A1295" s="6">
        <v>43426.010428240741</v>
      </c>
      <c r="B1295" s="7" t="str">
        <f>HYPERLINK("https://twitter.com/_Ruiz_Fini","@_Ruiz_Fini")</f>
        <v>@_Ruiz_Fini</v>
      </c>
      <c r="C1295" s="8" t="s">
        <v>2236</v>
      </c>
      <c r="D1295" s="9" t="s">
        <v>3029</v>
      </c>
      <c r="E1295" s="10" t="str">
        <f>HYPERLINK("https://twitter.com/_Ruiz_Fini/status/1065519005027454977","1065519005027454977")</f>
        <v>1065519005027454977</v>
      </c>
      <c r="F1295" s="14" t="s">
        <v>96</v>
      </c>
      <c r="G1295" s="11"/>
      <c r="H1295" s="11"/>
      <c r="I1295" s="12">
        <v>1</v>
      </c>
      <c r="J1295" s="12">
        <v>1</v>
      </c>
      <c r="K1295" s="13" t="str">
        <f>HYPERLINK("http://twitter.com/download/android","Twitter for Android")</f>
        <v>Twitter for Android</v>
      </c>
      <c r="L1295" s="12">
        <v>588</v>
      </c>
      <c r="M1295" s="12">
        <v>740</v>
      </c>
      <c r="N1295" s="12">
        <v>24</v>
      </c>
      <c r="O1295" s="15"/>
      <c r="P1295" s="6">
        <v>42174.28329861111</v>
      </c>
      <c r="Q1295" s="16" t="s">
        <v>28</v>
      </c>
      <c r="R1295" s="17" t="s">
        <v>2240</v>
      </c>
      <c r="S1295" s="11"/>
      <c r="T1295" s="11"/>
      <c r="U1295" s="10" t="str">
        <f>HYPERLINK("https://pbs.twimg.com/profile_images/1048588249650876416/Xqacey9N.jpg","View")</f>
        <v>View</v>
      </c>
    </row>
    <row r="1296" spans="1:21" ht="40.799999999999997">
      <c r="A1296" s="6">
        <v>43426.010162037041</v>
      </c>
      <c r="B1296" s="7" t="str">
        <f>HYPERLINK("https://twitter.com/ytuquesabes_","@ytuquesabes_")</f>
        <v>@ytuquesabes_</v>
      </c>
      <c r="C1296" s="8" t="s">
        <v>3032</v>
      </c>
      <c r="D1296" s="9" t="s">
        <v>3033</v>
      </c>
      <c r="E1296" s="10" t="str">
        <f>HYPERLINK("https://twitter.com/ytuquesabes_/status/1065518909053374465","1065518909053374465")</f>
        <v>1065518909053374465</v>
      </c>
      <c r="F1296" s="11"/>
      <c r="G1296" s="14" t="s">
        <v>3034</v>
      </c>
      <c r="H1296" s="11"/>
      <c r="I1296" s="12">
        <v>15</v>
      </c>
      <c r="J1296" s="12">
        <v>8</v>
      </c>
      <c r="K1296" s="13" t="str">
        <f>HYPERLINK("https://mobile.twitter.com","Twitter Lite")</f>
        <v>Twitter Lite</v>
      </c>
      <c r="L1296" s="12">
        <v>12564</v>
      </c>
      <c r="M1296" s="12">
        <v>10839</v>
      </c>
      <c r="N1296" s="12">
        <v>145</v>
      </c>
      <c r="O1296" s="15"/>
      <c r="P1296" s="6">
        <v>40679.482916666668</v>
      </c>
      <c r="Q1296" s="16" t="s">
        <v>3035</v>
      </c>
      <c r="R1296" s="17" t="s">
        <v>3036</v>
      </c>
      <c r="S1296" s="11"/>
      <c r="T1296" s="11"/>
      <c r="U1296" s="10" t="str">
        <f>HYPERLINK("https://pbs.twimg.com/profile_images/921071687357132800/s2qDoN08.jpg","View")</f>
        <v>View</v>
      </c>
    </row>
    <row r="1297" spans="1:21" ht="30.6">
      <c r="A1297" s="6">
        <v>43426.009976851856</v>
      </c>
      <c r="B1297" s="7" t="str">
        <f>HYPERLINK("https://twitter.com/MonicaMonicajf","@MonicaMonicajf")</f>
        <v>@MonicaMonicajf</v>
      </c>
      <c r="C1297" s="8" t="s">
        <v>3037</v>
      </c>
      <c r="D1297" s="9" t="s">
        <v>3038</v>
      </c>
      <c r="E1297" s="10" t="str">
        <f>HYPERLINK("https://twitter.com/MonicaMonicajf/status/1065518839633518592","1065518839633518592")</f>
        <v>1065518839633518592</v>
      </c>
      <c r="F1297" s="11"/>
      <c r="G1297" s="11"/>
      <c r="H1297" s="11"/>
      <c r="I1297" s="12">
        <v>0</v>
      </c>
      <c r="J1297" s="12">
        <v>0</v>
      </c>
      <c r="K1297" s="13" t="str">
        <f t="shared" ref="K1297:K1300" si="267">HYPERLINK("http://twitter.com/download/android","Twitter for Android")</f>
        <v>Twitter for Android</v>
      </c>
      <c r="L1297" s="12">
        <v>385</v>
      </c>
      <c r="M1297" s="12">
        <v>260</v>
      </c>
      <c r="N1297" s="12">
        <v>12</v>
      </c>
      <c r="O1297" s="15"/>
      <c r="P1297" s="6">
        <v>40684.177905092591</v>
      </c>
      <c r="Q1297" s="11"/>
      <c r="R1297" s="17" t="s">
        <v>3039</v>
      </c>
      <c r="S1297" s="11"/>
      <c r="T1297" s="11"/>
      <c r="U1297" s="10" t="str">
        <f>HYPERLINK("https://pbs.twimg.com/profile_images/1053553794154487808/VgLk4ihj.jpg","View")</f>
        <v>View</v>
      </c>
    </row>
    <row r="1298" spans="1:21" ht="40.799999999999997">
      <c r="A1298" s="6">
        <v>43426.009398148148</v>
      </c>
      <c r="B1298" s="7" t="str">
        <f>HYPERLINK("https://twitter.com/Eva69113","@Eva69113")</f>
        <v>@Eva69113</v>
      </c>
      <c r="C1298" s="8" t="s">
        <v>5650</v>
      </c>
      <c r="D1298" s="9" t="s">
        <v>6371</v>
      </c>
      <c r="E1298" s="10" t="str">
        <f>HYPERLINK("https://twitter.com/Eva69113/status/1065518628609630209","1065518628609630209")</f>
        <v>1065518628609630209</v>
      </c>
      <c r="F1298" s="11"/>
      <c r="G1298" s="11"/>
      <c r="H1298" s="11"/>
      <c r="I1298" s="12">
        <v>0</v>
      </c>
      <c r="J1298" s="12">
        <v>0</v>
      </c>
      <c r="K1298" s="13" t="str">
        <f t="shared" si="267"/>
        <v>Twitter for Android</v>
      </c>
      <c r="L1298" s="12">
        <v>506</v>
      </c>
      <c r="M1298" s="12">
        <v>629</v>
      </c>
      <c r="N1298" s="12">
        <v>0</v>
      </c>
      <c r="O1298" s="15"/>
      <c r="P1298" s="6">
        <v>43215.615428240737</v>
      </c>
      <c r="Q1298" s="16" t="s">
        <v>5651</v>
      </c>
      <c r="R1298" s="17" t="s">
        <v>5652</v>
      </c>
      <c r="S1298" s="11"/>
      <c r="T1298" s="11"/>
      <c r="U1298" s="10" t="str">
        <f>HYPERLINK("https://pbs.twimg.com/profile_images/1041709289801478144/DF6Rrm0D.jpg","View")</f>
        <v>View</v>
      </c>
    </row>
    <row r="1299" spans="1:21" ht="40.799999999999997">
      <c r="A1299" s="6">
        <v>43426.009236111116</v>
      </c>
      <c r="B1299" s="7" t="str">
        <f>HYPERLINK("https://twitter.com/C19Concepcion","@C19Concepcion")</f>
        <v>@C19Concepcion</v>
      </c>
      <c r="C1299" s="8" t="s">
        <v>3044</v>
      </c>
      <c r="D1299" s="9" t="s">
        <v>3045</v>
      </c>
      <c r="E1299" s="10" t="str">
        <f>HYPERLINK("https://twitter.com/C19Concepcion/status/1065518570988363776","1065518570988363776")</f>
        <v>1065518570988363776</v>
      </c>
      <c r="F1299" s="14" t="s">
        <v>96</v>
      </c>
      <c r="G1299" s="11"/>
      <c r="H1299" s="11"/>
      <c r="I1299" s="12">
        <v>30</v>
      </c>
      <c r="J1299" s="12">
        <v>24</v>
      </c>
      <c r="K1299" s="13" t="str">
        <f t="shared" si="267"/>
        <v>Twitter for Android</v>
      </c>
      <c r="L1299" s="12">
        <v>4529</v>
      </c>
      <c r="M1299" s="12">
        <v>3149</v>
      </c>
      <c r="N1299" s="12">
        <v>38</v>
      </c>
      <c r="O1299" s="15"/>
      <c r="P1299" s="6">
        <v>41850.583587962959</v>
      </c>
      <c r="Q1299" s="16" t="s">
        <v>406</v>
      </c>
      <c r="R1299" s="17" t="s">
        <v>3048</v>
      </c>
      <c r="S1299" s="14" t="s">
        <v>3049</v>
      </c>
      <c r="T1299" s="11"/>
      <c r="U1299" s="10" t="str">
        <f>HYPERLINK("https://pbs.twimg.com/profile_images/1001206372183232512/mbO8LUiQ.jpg","View")</f>
        <v>View</v>
      </c>
    </row>
    <row r="1300" spans="1:21" ht="51">
      <c r="A1300" s="6">
        <v>43426.00917824074</v>
      </c>
      <c r="B1300" s="7" t="str">
        <f>HYPERLINK("https://twitter.com/AJLeftist","@AJLeftist")</f>
        <v>@AJLeftist</v>
      </c>
      <c r="C1300" s="8" t="s">
        <v>2541</v>
      </c>
      <c r="D1300" s="9" t="s">
        <v>3050</v>
      </c>
      <c r="E1300" s="10" t="str">
        <f>HYPERLINK("https://twitter.com/AJLeftist/status/1065518549198884864","1065518549198884864")</f>
        <v>1065518549198884864</v>
      </c>
      <c r="F1300" s="14" t="s">
        <v>96</v>
      </c>
      <c r="G1300" s="11"/>
      <c r="H1300" s="11"/>
      <c r="I1300" s="12">
        <v>0</v>
      </c>
      <c r="J1300" s="12">
        <v>1</v>
      </c>
      <c r="K1300" s="13" t="str">
        <f t="shared" si="267"/>
        <v>Twitter for Android</v>
      </c>
      <c r="L1300" s="12">
        <v>790</v>
      </c>
      <c r="M1300" s="12">
        <v>799</v>
      </c>
      <c r="N1300" s="12">
        <v>26</v>
      </c>
      <c r="O1300" s="15"/>
      <c r="P1300" s="6">
        <v>39454.374780092592</v>
      </c>
      <c r="Q1300" s="16" t="s">
        <v>38</v>
      </c>
      <c r="R1300" s="17" t="s">
        <v>2544</v>
      </c>
      <c r="S1300" s="11"/>
      <c r="T1300" s="11"/>
      <c r="U1300" s="10" t="str">
        <f>HYPERLINK("https://pbs.twimg.com/profile_images/921751095323619329/8HNNRdHT.jpg","View")</f>
        <v>View</v>
      </c>
    </row>
    <row r="1301" spans="1:21" ht="51">
      <c r="A1301" s="6">
        <v>43426.00717592593</v>
      </c>
      <c r="B1301" s="7" t="str">
        <f>HYPERLINK("https://twitter.com/PodemosCalvia","@PodemosCalvia")</f>
        <v>@PodemosCalvia</v>
      </c>
      <c r="C1301" s="8" t="s">
        <v>6372</v>
      </c>
      <c r="D1301" s="9" t="s">
        <v>6373</v>
      </c>
      <c r="E1301" s="10" t="str">
        <f>HYPERLINK("https://twitter.com/PodemosCalvia/status/1065517823739465731","1065517823739465731")</f>
        <v>1065517823739465731</v>
      </c>
      <c r="F1301" s="16" t="s">
        <v>6374</v>
      </c>
      <c r="G1301" s="11"/>
      <c r="H1301" s="11"/>
      <c r="I1301" s="12">
        <v>0</v>
      </c>
      <c r="J1301" s="12">
        <v>1</v>
      </c>
      <c r="K1301" s="13" t="str">
        <f>HYPERLINK("http://twitter.com","Twitter Web Client")</f>
        <v>Twitter Web Client</v>
      </c>
      <c r="L1301" s="12">
        <v>606</v>
      </c>
      <c r="M1301" s="12">
        <v>317</v>
      </c>
      <c r="N1301" s="12">
        <v>17</v>
      </c>
      <c r="O1301" s="15"/>
      <c r="P1301" s="6">
        <v>41788.17728009259</v>
      </c>
      <c r="Q1301" s="16" t="s">
        <v>6375</v>
      </c>
      <c r="R1301" s="17" t="s">
        <v>6376</v>
      </c>
      <c r="S1301" s="11"/>
      <c r="T1301" s="11"/>
      <c r="U1301" s="10" t="str">
        <f>HYPERLINK("https://pbs.twimg.com/profile_images/1025426771397754880/OFddyroW.jpg","View")</f>
        <v>View</v>
      </c>
    </row>
    <row r="1302" spans="1:21" ht="61.2">
      <c r="A1302" s="6">
        <v>43426.007094907407</v>
      </c>
      <c r="B1302" s="7" t="str">
        <f>HYPERLINK("https://twitter.com/penedo_o","@penedo_o")</f>
        <v>@penedo_o</v>
      </c>
      <c r="C1302" s="8" t="s">
        <v>3052</v>
      </c>
      <c r="D1302" s="9" t="s">
        <v>3053</v>
      </c>
      <c r="E1302" s="10" t="str">
        <f>HYPERLINK("https://twitter.com/penedo_o/status/1065517795956404229","1065517795956404229")</f>
        <v>1065517795956404229</v>
      </c>
      <c r="F1302" s="11"/>
      <c r="G1302" s="14" t="s">
        <v>3056</v>
      </c>
      <c r="H1302" s="11"/>
      <c r="I1302" s="12">
        <v>10</v>
      </c>
      <c r="J1302" s="12">
        <v>7</v>
      </c>
      <c r="K1302" s="13" t="str">
        <f>HYPERLINK("http://twitter.com/download/android","Twitter for Android")</f>
        <v>Twitter for Android</v>
      </c>
      <c r="L1302" s="12">
        <v>2115</v>
      </c>
      <c r="M1302" s="12">
        <v>4990</v>
      </c>
      <c r="N1302" s="12">
        <v>7</v>
      </c>
      <c r="O1302" s="15"/>
      <c r="P1302" s="6">
        <v>42830.199629629627</v>
      </c>
      <c r="Q1302" s="16" t="s">
        <v>28</v>
      </c>
      <c r="R1302" s="19"/>
      <c r="S1302" s="11"/>
      <c r="T1302" s="11"/>
      <c r="U1302" s="10" t="str">
        <f>HYPERLINK("https://pbs.twimg.com/profile_images/856989046660370432/MRLY164I.jpg","View")</f>
        <v>View</v>
      </c>
    </row>
    <row r="1303" spans="1:21" ht="40.799999999999997">
      <c r="A1303" s="6">
        <v>43426.006712962961</v>
      </c>
      <c r="B1303" s="7" t="str">
        <f>HYPERLINK("https://twitter.com/fdelriosanchez","@fdelriosanchez")</f>
        <v>@fdelriosanchez</v>
      </c>
      <c r="C1303" s="8" t="s">
        <v>6377</v>
      </c>
      <c r="D1303" s="9" t="s">
        <v>6378</v>
      </c>
      <c r="E1303" s="10" t="str">
        <f>HYPERLINK("https://twitter.com/fdelriosanchez/status/1065517658873962496","1065517658873962496")</f>
        <v>1065517658873962496</v>
      </c>
      <c r="F1303" s="14" t="s">
        <v>6379</v>
      </c>
      <c r="G1303" s="11"/>
      <c r="H1303" s="11"/>
      <c r="I1303" s="12">
        <v>0</v>
      </c>
      <c r="J1303" s="12">
        <v>0</v>
      </c>
      <c r="K1303" s="13" t="str">
        <f>HYPERLINK("http://www.facebook.com/twitter","Facebook")</f>
        <v>Facebook</v>
      </c>
      <c r="L1303" s="12">
        <v>82</v>
      </c>
      <c r="M1303" s="12">
        <v>92</v>
      </c>
      <c r="N1303" s="12">
        <v>2</v>
      </c>
      <c r="O1303" s="15"/>
      <c r="P1303" s="6">
        <v>40595.446712962963</v>
      </c>
      <c r="Q1303" s="11"/>
      <c r="R1303" s="19"/>
      <c r="S1303" s="11"/>
      <c r="T1303" s="11"/>
      <c r="U1303" s="10" t="str">
        <f>HYPERLINK("https://pbs.twimg.com/profile_images/858406234285789184/_EEucZVb.jpg","View")</f>
        <v>View</v>
      </c>
    </row>
    <row r="1304" spans="1:21" ht="81.599999999999994">
      <c r="A1304" s="6">
        <v>43426.006261574075</v>
      </c>
      <c r="B1304" s="7" t="str">
        <f>HYPERLINK("https://twitter.com/Armunho","@Armunho")</f>
        <v>@Armunho</v>
      </c>
      <c r="C1304" s="8" t="s">
        <v>2108</v>
      </c>
      <c r="D1304" s="9" t="s">
        <v>6380</v>
      </c>
      <c r="E1304" s="10" t="str">
        <f>HYPERLINK("https://twitter.com/Armunho/status/1065517492163018752","1065517492163018752")</f>
        <v>1065517492163018752</v>
      </c>
      <c r="F1304" s="16" t="s">
        <v>1742</v>
      </c>
      <c r="G1304" s="14" t="s">
        <v>1431</v>
      </c>
      <c r="H1304" s="11"/>
      <c r="I1304" s="12">
        <v>1</v>
      </c>
      <c r="J1304" s="12">
        <v>6</v>
      </c>
      <c r="K1304" s="13" t="str">
        <f>HYPERLINK("http://twitter.com","Twitter Web Client")</f>
        <v>Twitter Web Client</v>
      </c>
      <c r="L1304" s="12">
        <v>4740</v>
      </c>
      <c r="M1304" s="12">
        <v>502</v>
      </c>
      <c r="N1304" s="12">
        <v>117</v>
      </c>
      <c r="O1304" s="15"/>
      <c r="P1304" s="6">
        <v>40539.731111111112</v>
      </c>
      <c r="Q1304" s="16" t="s">
        <v>762</v>
      </c>
      <c r="R1304" s="17" t="s">
        <v>2113</v>
      </c>
      <c r="S1304" s="11"/>
      <c r="T1304" s="11"/>
      <c r="U1304" s="10" t="str">
        <f>HYPERLINK("https://pbs.twimg.com/profile_images/1060423339523670016/O7nBm2DF.jpg","View")</f>
        <v>View</v>
      </c>
    </row>
    <row r="1305" spans="1:21" ht="40.799999999999997">
      <c r="A1305" s="6">
        <v>43426.006122685183</v>
      </c>
      <c r="B1305" s="7" t="str">
        <f>HYPERLINK("https://twitter.com/ytuquesabes_","@ytuquesabes_")</f>
        <v>@ytuquesabes_</v>
      </c>
      <c r="C1305" s="8" t="s">
        <v>3032</v>
      </c>
      <c r="D1305" s="9" t="s">
        <v>3057</v>
      </c>
      <c r="E1305" s="10" t="str">
        <f>HYPERLINK("https://twitter.com/ytuquesabes_/status/1065517443567820800","1065517443567820800")</f>
        <v>1065517443567820800</v>
      </c>
      <c r="F1305" s="14" t="s">
        <v>96</v>
      </c>
      <c r="G1305" s="11"/>
      <c r="H1305" s="11"/>
      <c r="I1305" s="12">
        <v>5</v>
      </c>
      <c r="J1305" s="12">
        <v>5</v>
      </c>
      <c r="K1305" s="13" t="str">
        <f>HYPERLINK("https://mobile.twitter.com","Twitter Lite")</f>
        <v>Twitter Lite</v>
      </c>
      <c r="L1305" s="12">
        <v>12564</v>
      </c>
      <c r="M1305" s="12">
        <v>10839</v>
      </c>
      <c r="N1305" s="12">
        <v>145</v>
      </c>
      <c r="O1305" s="15"/>
      <c r="P1305" s="6">
        <v>40679.482916666668</v>
      </c>
      <c r="Q1305" s="16" t="s">
        <v>3035</v>
      </c>
      <c r="R1305" s="17" t="s">
        <v>3036</v>
      </c>
      <c r="S1305" s="11"/>
      <c r="T1305" s="11"/>
      <c r="U1305" s="10" t="str">
        <f>HYPERLINK("https://pbs.twimg.com/profile_images/921071687357132800/s2qDoN08.jpg","View")</f>
        <v>View</v>
      </c>
    </row>
    <row r="1306" spans="1:21" ht="20.399999999999999">
      <c r="A1306" s="6">
        <v>43426.00545138889</v>
      </c>
      <c r="B1306" s="7" t="str">
        <f>HYPERLINK("https://twitter.com/maguva1","@maguva1")</f>
        <v>@maguva1</v>
      </c>
      <c r="C1306" s="8" t="s">
        <v>6381</v>
      </c>
      <c r="D1306" s="9" t="s">
        <v>768</v>
      </c>
      <c r="E1306" s="10" t="str">
        <f>HYPERLINK("https://twitter.com/maguva1/status/1065517201585815552","1065517201585815552")</f>
        <v>1065517201585815552</v>
      </c>
      <c r="F1306" s="14" t="s">
        <v>529</v>
      </c>
      <c r="G1306" s="11"/>
      <c r="H1306" s="11"/>
      <c r="I1306" s="12">
        <v>0</v>
      </c>
      <c r="J1306" s="12">
        <v>0</v>
      </c>
      <c r="K1306" s="13" t="str">
        <f t="shared" ref="K1306:K1308" si="268">HYPERLINK("http://twitter.com/download/iphone","Twitter for iPhone")</f>
        <v>Twitter for iPhone</v>
      </c>
      <c r="L1306" s="12">
        <v>670</v>
      </c>
      <c r="M1306" s="12">
        <v>1474</v>
      </c>
      <c r="N1306" s="12">
        <v>10</v>
      </c>
      <c r="O1306" s="15"/>
      <c r="P1306" s="6">
        <v>41380.600578703699</v>
      </c>
      <c r="Q1306" s="16" t="s">
        <v>2686</v>
      </c>
      <c r="R1306" s="19"/>
      <c r="S1306" s="11"/>
      <c r="T1306" s="11"/>
      <c r="U1306" s="10" t="str">
        <f>HYPERLINK("https://pbs.twimg.com/profile_images/514519154036973568/nnxp85xc.jpeg","View")</f>
        <v>View</v>
      </c>
    </row>
    <row r="1307" spans="1:21" ht="20.399999999999999">
      <c r="A1307" s="6">
        <v>43426.005266203705</v>
      </c>
      <c r="B1307" s="7" t="str">
        <f>HYPERLINK("https://twitter.com/arkadiofrances","@arkadiofrances")</f>
        <v>@arkadiofrances</v>
      </c>
      <c r="C1307" s="8" t="s">
        <v>6382</v>
      </c>
      <c r="D1307" s="9" t="s">
        <v>6383</v>
      </c>
      <c r="E1307" s="10" t="str">
        <f>HYPERLINK("https://twitter.com/arkadiofrances/status/1065517131574534144","1065517131574534144")</f>
        <v>1065517131574534144</v>
      </c>
      <c r="F1307" s="14" t="s">
        <v>1416</v>
      </c>
      <c r="G1307" s="11"/>
      <c r="H1307" s="11"/>
      <c r="I1307" s="12">
        <v>0</v>
      </c>
      <c r="J1307" s="12">
        <v>0</v>
      </c>
      <c r="K1307" s="13" t="str">
        <f t="shared" si="268"/>
        <v>Twitter for iPhone</v>
      </c>
      <c r="L1307" s="12">
        <v>222</v>
      </c>
      <c r="M1307" s="12">
        <v>246</v>
      </c>
      <c r="N1307" s="12">
        <v>0</v>
      </c>
      <c r="O1307" s="15"/>
      <c r="P1307" s="6">
        <v>41608.107546296298</v>
      </c>
      <c r="Q1307" s="16" t="s">
        <v>6384</v>
      </c>
      <c r="R1307" s="17" t="s">
        <v>6385</v>
      </c>
      <c r="S1307" s="11"/>
      <c r="T1307" s="11"/>
      <c r="U1307" s="10" t="str">
        <f>HYPERLINK("https://pbs.twimg.com/profile_images/918241242856779777/xM836kgI.jpg","View")</f>
        <v>View</v>
      </c>
    </row>
    <row r="1308" spans="1:21" ht="51">
      <c r="A1308" s="6">
        <v>43426.005150462966</v>
      </c>
      <c r="B1308" s="7" t="str">
        <f>HYPERLINK("https://twitter.com/m_corrales_","@m_corrales_")</f>
        <v>@m_corrales_</v>
      </c>
      <c r="C1308" s="8" t="s">
        <v>3058</v>
      </c>
      <c r="D1308" s="9" t="s">
        <v>3059</v>
      </c>
      <c r="E1308" s="10" t="str">
        <f>HYPERLINK("https://twitter.com/m_corrales_/status/1065517089576882177","1065517089576882177")</f>
        <v>1065517089576882177</v>
      </c>
      <c r="F1308" s="14" t="s">
        <v>96</v>
      </c>
      <c r="G1308" s="11"/>
      <c r="H1308" s="11"/>
      <c r="I1308" s="12">
        <v>0</v>
      </c>
      <c r="J1308" s="12">
        <v>0</v>
      </c>
      <c r="K1308" s="13" t="str">
        <f t="shared" si="268"/>
        <v>Twitter for iPhone</v>
      </c>
      <c r="L1308" s="12">
        <v>1480</v>
      </c>
      <c r="M1308" s="12">
        <v>2218</v>
      </c>
      <c r="N1308" s="12">
        <v>26</v>
      </c>
      <c r="O1308" s="15"/>
      <c r="P1308" s="6">
        <v>40678.64329861111</v>
      </c>
      <c r="Q1308" s="11"/>
      <c r="R1308" s="17" t="s">
        <v>3061</v>
      </c>
      <c r="S1308" s="14" t="s">
        <v>3062</v>
      </c>
      <c r="T1308" s="11"/>
      <c r="U1308" s="10" t="str">
        <f>HYPERLINK("https://pbs.twimg.com/profile_images/983698354671669248/lw6zDgMz.jpg","View")</f>
        <v>View</v>
      </c>
    </row>
    <row r="1309" spans="1:21" ht="51">
      <c r="A1309" s="6">
        <v>43426.004641203705</v>
      </c>
      <c r="B1309" s="7" t="str">
        <f>HYPERLINK("https://twitter.com/Elba_Celo","@Elba_Celo")</f>
        <v>@Elba_Celo</v>
      </c>
      <c r="C1309" s="8" t="s">
        <v>3064</v>
      </c>
      <c r="D1309" s="9" t="s">
        <v>3065</v>
      </c>
      <c r="E1309" s="10" t="str">
        <f>HYPERLINK("https://twitter.com/Elba_Celo/status/1065516908252983296","1065516908252983296")</f>
        <v>1065516908252983296</v>
      </c>
      <c r="F1309" s="14" t="s">
        <v>2796</v>
      </c>
      <c r="G1309" s="11"/>
      <c r="H1309" s="11"/>
      <c r="I1309" s="12">
        <v>4</v>
      </c>
      <c r="J1309" s="12">
        <v>12</v>
      </c>
      <c r="K1309" s="13" t="str">
        <f t="shared" ref="K1309:K1311" si="269">HYPERLINK("http://twitter.com/download/android","Twitter for Android")</f>
        <v>Twitter for Android</v>
      </c>
      <c r="L1309" s="12">
        <v>21903</v>
      </c>
      <c r="M1309" s="12">
        <v>993</v>
      </c>
      <c r="N1309" s="12">
        <v>344</v>
      </c>
      <c r="O1309" s="15"/>
      <c r="P1309" s="6">
        <v>40406.730115740742</v>
      </c>
      <c r="Q1309" s="16" t="s">
        <v>123</v>
      </c>
      <c r="R1309" s="17" t="s">
        <v>3068</v>
      </c>
      <c r="S1309" s="11"/>
      <c r="T1309" s="11"/>
      <c r="U1309" s="10" t="str">
        <f>HYPERLINK("https://pbs.twimg.com/profile_images/1065663656027770880/db6hMtmY.jpg","View")</f>
        <v>View</v>
      </c>
    </row>
    <row r="1310" spans="1:21" ht="51">
      <c r="A1310" s="6">
        <v>43426.004583333328</v>
      </c>
      <c r="B1310" s="7" t="str">
        <f>HYPERLINK("https://twitter.com/FreireALFONSO","@FreireALFONSO")</f>
        <v>@FreireALFONSO</v>
      </c>
      <c r="C1310" s="8" t="s">
        <v>434</v>
      </c>
      <c r="D1310" s="9" t="s">
        <v>3069</v>
      </c>
      <c r="E1310" s="10" t="str">
        <f>HYPERLINK("https://twitter.com/FreireALFONSO/status/1065516884588748800","1065516884588748800")</f>
        <v>1065516884588748800</v>
      </c>
      <c r="F1310" s="11"/>
      <c r="G1310" s="14" t="s">
        <v>3070</v>
      </c>
      <c r="H1310" s="11"/>
      <c r="I1310" s="12">
        <v>0</v>
      </c>
      <c r="J1310" s="12">
        <v>0</v>
      </c>
      <c r="K1310" s="13" t="str">
        <f t="shared" si="269"/>
        <v>Twitter for Android</v>
      </c>
      <c r="L1310" s="12">
        <v>101</v>
      </c>
      <c r="M1310" s="12">
        <v>83</v>
      </c>
      <c r="N1310" s="12">
        <v>4</v>
      </c>
      <c r="O1310" s="15"/>
      <c r="P1310" s="6">
        <v>41195.490740740745</v>
      </c>
      <c r="Q1310" s="16" t="s">
        <v>439</v>
      </c>
      <c r="R1310" s="17" t="s">
        <v>440</v>
      </c>
      <c r="S1310" s="11"/>
      <c r="T1310" s="11"/>
      <c r="U1310" s="10" t="str">
        <f>HYPERLINK("https://pbs.twimg.com/profile_images/1040311561552887808/pTkAtlbw.jpg","View")</f>
        <v>View</v>
      </c>
    </row>
    <row r="1311" spans="1:21" ht="40.799999999999997">
      <c r="A1311" s="6">
        <v>43426.004166666666</v>
      </c>
      <c r="B1311" s="7" t="str">
        <f>HYPERLINK("https://twitter.com/MaiteMolinaN","@MaiteMolinaN")</f>
        <v>@MaiteMolinaN</v>
      </c>
      <c r="C1311" s="8" t="s">
        <v>3071</v>
      </c>
      <c r="D1311" s="9" t="s">
        <v>3072</v>
      </c>
      <c r="E1311" s="10" t="str">
        <f>HYPERLINK("https://twitter.com/MaiteMolinaN/status/1065516732515782656","1065516732515782656")</f>
        <v>1065516732515782656</v>
      </c>
      <c r="F1311" s="14" t="s">
        <v>96</v>
      </c>
      <c r="G1311" s="14" t="s">
        <v>3073</v>
      </c>
      <c r="H1311" s="11"/>
      <c r="I1311" s="12">
        <v>0</v>
      </c>
      <c r="J1311" s="12">
        <v>1</v>
      </c>
      <c r="K1311" s="13" t="str">
        <f t="shared" si="269"/>
        <v>Twitter for Android</v>
      </c>
      <c r="L1311" s="12">
        <v>8021</v>
      </c>
      <c r="M1311" s="12">
        <v>3947</v>
      </c>
      <c r="N1311" s="12">
        <v>176</v>
      </c>
      <c r="O1311" s="15"/>
      <c r="P1311" s="6">
        <v>40696.107928240745</v>
      </c>
      <c r="Q1311" s="16" t="s">
        <v>3074</v>
      </c>
      <c r="R1311" s="17" t="s">
        <v>3075</v>
      </c>
      <c r="S1311" s="14" t="s">
        <v>3076</v>
      </c>
      <c r="T1311" s="11"/>
      <c r="U1311" s="10" t="str">
        <f>HYPERLINK("https://pbs.twimg.com/profile_images/1052167927875670016/xzp3Gp6Q.jpg","View")</f>
        <v>View</v>
      </c>
    </row>
    <row r="1312" spans="1:21" ht="20.399999999999999">
      <c r="A1312" s="6">
        <v>43426.004131944443</v>
      </c>
      <c r="B1312" s="7" t="str">
        <f>HYPERLINK("https://twitter.com/efrainreiser1","@efrainreiser1")</f>
        <v>@efrainreiser1</v>
      </c>
      <c r="C1312" s="8" t="s">
        <v>6386</v>
      </c>
      <c r="D1312" s="9" t="s">
        <v>2895</v>
      </c>
      <c r="E1312" s="10" t="str">
        <f>HYPERLINK("https://twitter.com/efrainreiser1/status/1065516723489648641","1065516723489648641")</f>
        <v>1065516723489648641</v>
      </c>
      <c r="F1312" s="14" t="s">
        <v>529</v>
      </c>
      <c r="G1312" s="11"/>
      <c r="H1312" s="11"/>
      <c r="I1312" s="12">
        <v>1</v>
      </c>
      <c r="J1312" s="12">
        <v>1</v>
      </c>
      <c r="K1312" s="13" t="str">
        <f>HYPERLINK("http://twitter.com","Twitter Web Client")</f>
        <v>Twitter Web Client</v>
      </c>
      <c r="L1312" s="12">
        <v>265</v>
      </c>
      <c r="M1312" s="12">
        <v>1100</v>
      </c>
      <c r="N1312" s="12">
        <v>1</v>
      </c>
      <c r="O1312" s="15"/>
      <c r="P1312" s="6">
        <v>42918.152881944443</v>
      </c>
      <c r="Q1312" s="11"/>
      <c r="R1312" s="19"/>
      <c r="S1312" s="11"/>
      <c r="T1312" s="11"/>
      <c r="U1312" s="10" t="str">
        <f>HYPERLINK("https://pbs.twimg.com/profile_images/1001476118694817792/FCxLZ9Nl.jpg","View")</f>
        <v>View</v>
      </c>
    </row>
    <row r="1313" spans="1:21" ht="40.799999999999997">
      <c r="A1313" s="6">
        <v>43426.003657407404</v>
      </c>
      <c r="B1313" s="7" t="str">
        <f>HYPERLINK("https://twitter.com/Urbano24horas","@Urbano24horas")</f>
        <v>@Urbano24horas</v>
      </c>
      <c r="C1313" s="22" t="s">
        <v>6387</v>
      </c>
      <c r="D1313" s="9" t="s">
        <v>6388</v>
      </c>
      <c r="E1313" s="10" t="str">
        <f>HYPERLINK("https://twitter.com/Urbano24horas/status/1065516551078596608","1065516551078596608")</f>
        <v>1065516551078596608</v>
      </c>
      <c r="F1313" s="14" t="s">
        <v>3212</v>
      </c>
      <c r="G1313" s="11"/>
      <c r="H1313" s="11"/>
      <c r="I1313" s="12">
        <v>0</v>
      </c>
      <c r="J1313" s="12">
        <v>0</v>
      </c>
      <c r="K1313" s="13" t="str">
        <f t="shared" ref="K1313:K1314" si="270">HYPERLINK("https://ifttt.com","IFTTT")</f>
        <v>IFTTT</v>
      </c>
      <c r="L1313" s="12">
        <v>1681</v>
      </c>
      <c r="M1313" s="12">
        <v>780</v>
      </c>
      <c r="N1313" s="12">
        <v>69</v>
      </c>
      <c r="O1313" s="15"/>
      <c r="P1313" s="6">
        <v>41993.991527777776</v>
      </c>
      <c r="Q1313" s="16" t="s">
        <v>6389</v>
      </c>
      <c r="R1313" s="17" t="s">
        <v>6390</v>
      </c>
      <c r="S1313" s="14" t="s">
        <v>6391</v>
      </c>
      <c r="T1313" s="11"/>
      <c r="U1313" s="10" t="str">
        <f>HYPERLINK("https://pbs.twimg.com/profile_images/916763216499195904/HQKS01DA.jpg","View")</f>
        <v>View</v>
      </c>
    </row>
    <row r="1314" spans="1:21" ht="20.399999999999999">
      <c r="A1314" s="6">
        <v>43426.003078703703</v>
      </c>
      <c r="B1314" s="7" t="str">
        <f>HYPERLINK("https://twitter.com/gara_ice","@gara_ice")</f>
        <v>@gara_ice</v>
      </c>
      <c r="C1314" s="8" t="s">
        <v>1475</v>
      </c>
      <c r="D1314" s="9" t="s">
        <v>6392</v>
      </c>
      <c r="E1314" s="10" t="str">
        <f>HYPERLINK("https://twitter.com/gara_ice/status/1065516341870899200","1065516341870899200")</f>
        <v>1065516341870899200</v>
      </c>
      <c r="F1314" s="14" t="s">
        <v>6393</v>
      </c>
      <c r="G1314" s="11"/>
      <c r="H1314" s="11"/>
      <c r="I1314" s="12">
        <v>0</v>
      </c>
      <c r="J1314" s="12">
        <v>0</v>
      </c>
      <c r="K1314" s="13" t="str">
        <f t="shared" si="270"/>
        <v>IFTTT</v>
      </c>
      <c r="L1314" s="12">
        <v>445</v>
      </c>
      <c r="M1314" s="12">
        <v>434</v>
      </c>
      <c r="N1314" s="12">
        <v>10</v>
      </c>
      <c r="O1314" s="15"/>
      <c r="P1314" s="6">
        <v>39590.060324074075</v>
      </c>
      <c r="Q1314" s="11"/>
      <c r="R1314" s="19"/>
      <c r="S1314" s="11"/>
      <c r="T1314" s="11"/>
      <c r="U1314" s="10" t="str">
        <f>HYPERLINK("https://pbs.twimg.com/profile_images/561850533468971008/-4f3cnLr.jpeg","View")</f>
        <v>View</v>
      </c>
    </row>
    <row r="1315" spans="1:21" ht="51">
      <c r="A1315" s="6">
        <v>43426.002337962964</v>
      </c>
      <c r="B1315" s="7" t="str">
        <f>HYPERLINK("https://twitter.com/santiagonavajas","@santiagonavajas")</f>
        <v>@santiagonavajas</v>
      </c>
      <c r="C1315" s="8" t="s">
        <v>6394</v>
      </c>
      <c r="D1315" s="9" t="s">
        <v>6395</v>
      </c>
      <c r="E1315" s="10" t="str">
        <f>HYPERLINK("https://twitter.com/santiagonavajas/status/1065516072781131776","1065516072781131776")</f>
        <v>1065516072781131776</v>
      </c>
      <c r="F1315" s="11"/>
      <c r="G1315" s="11"/>
      <c r="H1315" s="11"/>
      <c r="I1315" s="12">
        <v>16</v>
      </c>
      <c r="J1315" s="12">
        <v>24</v>
      </c>
      <c r="K1315" s="13" t="str">
        <f>HYPERLINK("http://twitter.com","Twitter Web Client")</f>
        <v>Twitter Web Client</v>
      </c>
      <c r="L1315" s="12">
        <v>7764</v>
      </c>
      <c r="M1315" s="12">
        <v>1034</v>
      </c>
      <c r="N1315" s="12">
        <v>264</v>
      </c>
      <c r="O1315" s="15"/>
      <c r="P1315" s="6">
        <v>39756.219224537039</v>
      </c>
      <c r="Q1315" s="16" t="s">
        <v>2352</v>
      </c>
      <c r="R1315" s="17" t="s">
        <v>6396</v>
      </c>
      <c r="S1315" s="14" t="s">
        <v>6397</v>
      </c>
      <c r="T1315" s="11"/>
      <c r="U1315" s="10" t="str">
        <f>HYPERLINK("https://pbs.twimg.com/profile_images/1033680938335694848/_BDOcio_.jpg","View")</f>
        <v>View</v>
      </c>
    </row>
    <row r="1316" spans="1:21" ht="30.6">
      <c r="A1316" s="6">
        <v>43426.002291666664</v>
      </c>
      <c r="B1316" s="7" t="str">
        <f>HYPERLINK("https://twitter.com/aaixala","@aaixala")</f>
        <v>@aaixala</v>
      </c>
      <c r="C1316" s="8" t="s">
        <v>3077</v>
      </c>
      <c r="D1316" s="9" t="s">
        <v>3078</v>
      </c>
      <c r="E1316" s="10" t="str">
        <f>HYPERLINK("https://twitter.com/aaixala/status/1065516055550935040","1065516055550935040")</f>
        <v>1065516055550935040</v>
      </c>
      <c r="F1316" s="14" t="s">
        <v>3079</v>
      </c>
      <c r="G1316" s="11"/>
      <c r="H1316" s="11"/>
      <c r="I1316" s="12">
        <v>0</v>
      </c>
      <c r="J1316" s="12">
        <v>1</v>
      </c>
      <c r="K1316" s="13" t="str">
        <f>HYPERLINK("http://twitter.com/download/android","Twitter for Android")</f>
        <v>Twitter for Android</v>
      </c>
      <c r="L1316" s="12">
        <v>1310</v>
      </c>
      <c r="M1316" s="12">
        <v>1282</v>
      </c>
      <c r="N1316" s="12">
        <v>28</v>
      </c>
      <c r="O1316" s="15"/>
      <c r="P1316" s="6">
        <v>40062.157847222225</v>
      </c>
      <c r="Q1316" s="16" t="s">
        <v>256</v>
      </c>
      <c r="R1316" s="17" t="s">
        <v>3080</v>
      </c>
      <c r="S1316" s="14" t="s">
        <v>3081</v>
      </c>
      <c r="T1316" s="11"/>
      <c r="U1316" s="10" t="str">
        <f>HYPERLINK("https://pbs.twimg.com/profile_images/800302451/Vilanova.jpg","View")</f>
        <v>View</v>
      </c>
    </row>
    <row r="1317" spans="1:21" ht="51">
      <c r="A1317" s="6">
        <v>43426.002175925925</v>
      </c>
      <c r="B1317" s="7" t="str">
        <f>HYPERLINK("https://twitter.com/ElAzotedeDios5","@ElAzotedeDios5")</f>
        <v>@ElAzotedeDios5</v>
      </c>
      <c r="C1317" s="8" t="s">
        <v>6398</v>
      </c>
      <c r="D1317" s="9" t="s">
        <v>6399</v>
      </c>
      <c r="E1317" s="10" t="str">
        <f>HYPERLINK("https://twitter.com/ElAzotedeDios5/status/1065516013066878976","1065516013066878976")</f>
        <v>1065516013066878976</v>
      </c>
      <c r="F1317" s="14" t="s">
        <v>6400</v>
      </c>
      <c r="G1317" s="11"/>
      <c r="H1317" s="11"/>
      <c r="I1317" s="12">
        <v>1</v>
      </c>
      <c r="J1317" s="12">
        <v>1</v>
      </c>
      <c r="K1317" s="13" t="str">
        <f t="shared" ref="K1317:K1318" si="271">HYPERLINK("http://twitter.com/download/iphone","Twitter for iPhone")</f>
        <v>Twitter for iPhone</v>
      </c>
      <c r="L1317" s="12">
        <v>469</v>
      </c>
      <c r="M1317" s="12">
        <v>1272</v>
      </c>
      <c r="N1317" s="12">
        <v>2</v>
      </c>
      <c r="O1317" s="15"/>
      <c r="P1317" s="6">
        <v>43305.116909722223</v>
      </c>
      <c r="Q1317" s="11"/>
      <c r="R1317" s="19"/>
      <c r="S1317" s="11"/>
      <c r="T1317" s="11"/>
      <c r="U1317" s="10" t="str">
        <f>HYPERLINK("https://pbs.twimg.com/profile_images/1021694581174427648/HRgK9x8s.jpg","View")</f>
        <v>View</v>
      </c>
    </row>
    <row r="1318" spans="1:21" ht="40.799999999999997">
      <c r="A1318" s="6">
        <v>43426.002106481479</v>
      </c>
      <c r="B1318" s="7" t="str">
        <f>HYPERLINK("https://twitter.com/BeatrizTalegon","@BeatrizTalegon")</f>
        <v>@BeatrizTalegon</v>
      </c>
      <c r="C1318" s="8" t="s">
        <v>3082</v>
      </c>
      <c r="D1318" s="9" t="s">
        <v>3083</v>
      </c>
      <c r="E1318" s="10" t="str">
        <f>HYPERLINK("https://twitter.com/BeatrizTalegon/status/1065515989440360449","1065515989440360449")</f>
        <v>1065515989440360449</v>
      </c>
      <c r="F1318" s="14" t="s">
        <v>96</v>
      </c>
      <c r="G1318" s="11"/>
      <c r="H1318" s="11"/>
      <c r="I1318" s="12">
        <v>17</v>
      </c>
      <c r="J1318" s="12">
        <v>32</v>
      </c>
      <c r="K1318" s="13" t="str">
        <f t="shared" si="271"/>
        <v>Twitter for iPhone</v>
      </c>
      <c r="L1318" s="12">
        <v>198511</v>
      </c>
      <c r="M1318" s="12">
        <v>18570</v>
      </c>
      <c r="N1318" s="12">
        <v>1580</v>
      </c>
      <c r="O1318" s="18" t="s">
        <v>52</v>
      </c>
      <c r="P1318" s="6">
        <v>39489.237256944441</v>
      </c>
      <c r="Q1318" s="16" t="s">
        <v>28</v>
      </c>
      <c r="R1318" s="17" t="s">
        <v>3086</v>
      </c>
      <c r="S1318" s="11"/>
      <c r="T1318" s="11"/>
      <c r="U1318" s="10" t="str">
        <f>HYPERLINK("https://pbs.twimg.com/profile_images/1056220868764987394/TzvHk0qH.jpg","View")</f>
        <v>View</v>
      </c>
    </row>
    <row r="1319" spans="1:21" ht="51">
      <c r="A1319" s="6">
        <v>43426.00209490741</v>
      </c>
      <c r="B1319" s="7" t="str">
        <f>HYPERLINK("https://twitter.com/serjares","@serjares")</f>
        <v>@serjares</v>
      </c>
      <c r="C1319" s="8" t="s">
        <v>227</v>
      </c>
      <c r="D1319" s="9" t="s">
        <v>3088</v>
      </c>
      <c r="E1319" s="10" t="str">
        <f>HYPERLINK("https://twitter.com/serjares/status/1065515985661296640","1065515985661296640")</f>
        <v>1065515985661296640</v>
      </c>
      <c r="F1319" s="14" t="s">
        <v>96</v>
      </c>
      <c r="G1319" s="14" t="s">
        <v>3090</v>
      </c>
      <c r="H1319" s="11"/>
      <c r="I1319" s="12">
        <v>4</v>
      </c>
      <c r="J1319" s="12">
        <v>4</v>
      </c>
      <c r="K1319" s="13" t="str">
        <f t="shared" ref="K1319:K1320" si="272">HYPERLINK("http://twitter.com","Twitter Web Client")</f>
        <v>Twitter Web Client</v>
      </c>
      <c r="L1319" s="12">
        <v>645</v>
      </c>
      <c r="M1319" s="12">
        <v>244</v>
      </c>
      <c r="N1319" s="12">
        <v>12</v>
      </c>
      <c r="O1319" s="15"/>
      <c r="P1319" s="6">
        <v>40921.625</v>
      </c>
      <c r="Q1319" s="16" t="s">
        <v>234</v>
      </c>
      <c r="R1319" s="17" t="s">
        <v>235</v>
      </c>
      <c r="S1319" s="11"/>
      <c r="T1319" s="11"/>
      <c r="U1319" s="10" t="str">
        <f>HYPERLINK("https://pbs.twimg.com/profile_images/818906679257563138/uDlM3QVe.jpg","View")</f>
        <v>View</v>
      </c>
    </row>
    <row r="1320" spans="1:21" ht="102">
      <c r="A1320" s="6">
        <v>43426.001574074078</v>
      </c>
      <c r="B1320" s="7" t="str">
        <f>HYPERLINK("https://twitter.com/Picotudo_cst","@Picotudo_cst")</f>
        <v>@Picotudo_cst</v>
      </c>
      <c r="C1320" s="8" t="s">
        <v>3092</v>
      </c>
      <c r="D1320" s="9" t="s">
        <v>3093</v>
      </c>
      <c r="E1320" s="10" t="str">
        <f>HYPERLINK("https://twitter.com/Picotudo_cst/status/1065515796045201408","1065515796045201408")</f>
        <v>1065515796045201408</v>
      </c>
      <c r="F1320" s="16" t="s">
        <v>1742</v>
      </c>
      <c r="G1320" s="14" t="s">
        <v>1431</v>
      </c>
      <c r="H1320" s="11"/>
      <c r="I1320" s="12">
        <v>1</v>
      </c>
      <c r="J1320" s="12">
        <v>2</v>
      </c>
      <c r="K1320" s="13" t="str">
        <f t="shared" si="272"/>
        <v>Twitter Web Client</v>
      </c>
      <c r="L1320" s="12">
        <v>135</v>
      </c>
      <c r="M1320" s="12">
        <v>245</v>
      </c>
      <c r="N1320" s="12">
        <v>2</v>
      </c>
      <c r="O1320" s="15"/>
      <c r="P1320" s="6">
        <v>40673.688796296294</v>
      </c>
      <c r="Q1320" s="16" t="s">
        <v>3094</v>
      </c>
      <c r="R1320" s="17" t="s">
        <v>3095</v>
      </c>
      <c r="S1320" s="11"/>
      <c r="T1320" s="11"/>
      <c r="U1320" s="10" t="str">
        <f>HYPERLINK("https://pbs.twimg.com/profile_images/1673331771/lalechemerche.jpg","View")</f>
        <v>View</v>
      </c>
    </row>
    <row r="1321" spans="1:21" ht="51">
      <c r="A1321" s="6">
        <v>43426.000844907408</v>
      </c>
      <c r="B1321" s="7" t="str">
        <f>HYPERLINK("https://twitter.com/manuvarsss","@manuvarsss")</f>
        <v>@manuvarsss</v>
      </c>
      <c r="C1321" s="8" t="s">
        <v>3096</v>
      </c>
      <c r="D1321" s="9" t="s">
        <v>3097</v>
      </c>
      <c r="E1321" s="10" t="str">
        <f>HYPERLINK("https://twitter.com/manuvarsss/status/1065515530486988800","1065515530486988800")</f>
        <v>1065515530486988800</v>
      </c>
      <c r="F1321" s="14" t="s">
        <v>79</v>
      </c>
      <c r="G1321" s="11"/>
      <c r="H1321" s="11"/>
      <c r="I1321" s="12">
        <v>28</v>
      </c>
      <c r="J1321" s="12">
        <v>19</v>
      </c>
      <c r="K1321" s="13" t="str">
        <f t="shared" ref="K1321:K1322" si="273">HYPERLINK("http://twitter.com/download/android","Twitter for Android")</f>
        <v>Twitter for Android</v>
      </c>
      <c r="L1321" s="12">
        <v>2197</v>
      </c>
      <c r="M1321" s="12">
        <v>2242</v>
      </c>
      <c r="N1321" s="12">
        <v>23</v>
      </c>
      <c r="O1321" s="15"/>
      <c r="P1321" s="6">
        <v>42014.770833333328</v>
      </c>
      <c r="Q1321" s="11"/>
      <c r="R1321" s="19"/>
      <c r="S1321" s="11"/>
      <c r="T1321" s="11"/>
      <c r="U1321" s="10" t="str">
        <f>HYPERLINK("https://pbs.twimg.com/profile_images/1058296308165943296/x2oyrnz5.jpg","View")</f>
        <v>View</v>
      </c>
    </row>
    <row r="1322" spans="1:21" ht="20.399999999999999">
      <c r="A1322" s="6">
        <v>43426.000752314816</v>
      </c>
      <c r="B1322" s="7" t="str">
        <f>HYPERLINK("https://twitter.com/rafabuitron","@rafabuitron")</f>
        <v>@rafabuitron</v>
      </c>
      <c r="C1322" s="8" t="s">
        <v>6401</v>
      </c>
      <c r="D1322" s="9" t="s">
        <v>2895</v>
      </c>
      <c r="E1322" s="10" t="str">
        <f>HYPERLINK("https://twitter.com/rafabuitron/status/1065515497230426112","1065515497230426112")</f>
        <v>1065515497230426112</v>
      </c>
      <c r="F1322" s="14" t="s">
        <v>529</v>
      </c>
      <c r="G1322" s="11"/>
      <c r="H1322" s="11"/>
      <c r="I1322" s="12">
        <v>0</v>
      </c>
      <c r="J1322" s="12">
        <v>0</v>
      </c>
      <c r="K1322" s="13" t="str">
        <f t="shared" si="273"/>
        <v>Twitter for Android</v>
      </c>
      <c r="L1322" s="12">
        <v>427</v>
      </c>
      <c r="M1322" s="12">
        <v>1622</v>
      </c>
      <c r="N1322" s="12">
        <v>6</v>
      </c>
      <c r="O1322" s="15"/>
      <c r="P1322" s="6">
        <v>39509.258275462962</v>
      </c>
      <c r="Q1322" s="16" t="s">
        <v>6402</v>
      </c>
      <c r="R1322" s="19"/>
      <c r="S1322" s="11"/>
      <c r="T1322" s="11"/>
      <c r="U1322" s="10" t="str">
        <f>HYPERLINK("https://pbs.twimg.com/profile_images/1065853757521563650/VmOR_AlZ.jpg","View")</f>
        <v>View</v>
      </c>
    </row>
    <row r="1323" spans="1:21" ht="81.599999999999994">
      <c r="A1323" s="6">
        <v>43425.999131944445</v>
      </c>
      <c r="B1323" s="7" t="str">
        <f>HYPERLINK("https://twitter.com/Pabloxcambio","@Pabloxcambio")</f>
        <v>@Pabloxcambio</v>
      </c>
      <c r="C1323" s="8" t="s">
        <v>3101</v>
      </c>
      <c r="D1323" s="9" t="s">
        <v>3102</v>
      </c>
      <c r="E1323" s="10" t="str">
        <f>HYPERLINK("https://twitter.com/Pabloxcambio/status/1065514911483219968","1065514911483219968")</f>
        <v>1065514911483219968</v>
      </c>
      <c r="F1323" s="16" t="s">
        <v>1925</v>
      </c>
      <c r="G1323" s="11"/>
      <c r="H1323" s="11"/>
      <c r="I1323" s="12">
        <v>0</v>
      </c>
      <c r="J1323" s="12">
        <v>0</v>
      </c>
      <c r="K1323" s="13" t="str">
        <f t="shared" ref="K1323:K1324" si="274">HYPERLINK("http://twitter.com/download/iphone","Twitter for iPhone")</f>
        <v>Twitter for iPhone</v>
      </c>
      <c r="L1323" s="12">
        <v>91</v>
      </c>
      <c r="M1323" s="12">
        <v>194</v>
      </c>
      <c r="N1323" s="12">
        <v>1</v>
      </c>
      <c r="O1323" s="15"/>
      <c r="P1323" s="6">
        <v>42636.591111111113</v>
      </c>
      <c r="Q1323" s="16" t="s">
        <v>28</v>
      </c>
      <c r="R1323" s="19"/>
      <c r="S1323" s="11"/>
      <c r="T1323" s="11"/>
      <c r="U1323" s="10" t="str">
        <f>HYPERLINK("https://pbs.twimg.com/profile_images/779731725932986369/Bvm6rM07.jpg","View")</f>
        <v>View</v>
      </c>
    </row>
    <row r="1324" spans="1:21" ht="40.799999999999997">
      <c r="A1324" s="6">
        <v>43425.998564814814</v>
      </c>
      <c r="B1324" s="7" t="str">
        <f>HYPERLINK("https://twitter.com/DchosSociales","@DchosSociales")</f>
        <v>@DchosSociales</v>
      </c>
      <c r="C1324" s="8" t="s">
        <v>3103</v>
      </c>
      <c r="D1324" s="9" t="s">
        <v>3104</v>
      </c>
      <c r="E1324" s="10" t="str">
        <f>HYPERLINK("https://twitter.com/DchosSociales/status/1065514702451761157","1065514702451761157")</f>
        <v>1065514702451761157</v>
      </c>
      <c r="F1324" s="14" t="s">
        <v>96</v>
      </c>
      <c r="G1324" s="11"/>
      <c r="H1324" s="11"/>
      <c r="I1324" s="12">
        <v>4</v>
      </c>
      <c r="J1324" s="12">
        <v>1</v>
      </c>
      <c r="K1324" s="13" t="str">
        <f t="shared" si="274"/>
        <v>Twitter for iPhone</v>
      </c>
      <c r="L1324" s="12">
        <v>757</v>
      </c>
      <c r="M1324" s="12">
        <v>983</v>
      </c>
      <c r="N1324" s="12">
        <v>4</v>
      </c>
      <c r="O1324" s="15"/>
      <c r="P1324" s="6">
        <v>42988.382488425923</v>
      </c>
      <c r="Q1324" s="16" t="s">
        <v>3107</v>
      </c>
      <c r="R1324" s="17" t="s">
        <v>3108</v>
      </c>
      <c r="S1324" s="14" t="s">
        <v>3109</v>
      </c>
      <c r="T1324" s="11"/>
      <c r="U1324" s="10" t="str">
        <f>HYPERLINK("https://pbs.twimg.com/profile_images/1037306450832437248/BG1S_dM6.jpg","View")</f>
        <v>View</v>
      </c>
    </row>
    <row r="1325" spans="1:21" ht="30.6">
      <c r="A1325" s="6">
        <v>43425.998391203699</v>
      </c>
      <c r="B1325" s="7" t="str">
        <f>HYPERLINK("https://twitter.com/ACaballero2018","@ACaballero2018")</f>
        <v>@ACaballero2018</v>
      </c>
      <c r="C1325" s="8" t="s">
        <v>3111</v>
      </c>
      <c r="D1325" s="9" t="s">
        <v>3113</v>
      </c>
      <c r="E1325" s="10" t="str">
        <f>HYPERLINK("https://twitter.com/ACaballero2018/status/1065514640602525696","1065514640602525696")</f>
        <v>1065514640602525696</v>
      </c>
      <c r="F1325" s="11"/>
      <c r="G1325" s="11"/>
      <c r="H1325" s="11"/>
      <c r="I1325" s="12">
        <v>0</v>
      </c>
      <c r="J1325" s="12">
        <v>0</v>
      </c>
      <c r="K1325" s="13" t="str">
        <f>HYPERLINK("http://twitter.com/download/android","Twitter for Android")</f>
        <v>Twitter for Android</v>
      </c>
      <c r="L1325" s="12">
        <v>73</v>
      </c>
      <c r="M1325" s="12">
        <v>122</v>
      </c>
      <c r="N1325" s="12">
        <v>4</v>
      </c>
      <c r="O1325" s="15"/>
      <c r="P1325" s="6">
        <v>43358.367372685185</v>
      </c>
      <c r="Q1325" s="16" t="s">
        <v>3114</v>
      </c>
      <c r="R1325" s="17" t="s">
        <v>3115</v>
      </c>
      <c r="S1325" s="11"/>
      <c r="T1325" s="11"/>
      <c r="U1325" s="10" t="str">
        <f>HYPERLINK("https://pbs.twimg.com/profile_images/1040992487601582081/v1GN1mo1.jpg","View")</f>
        <v>View</v>
      </c>
    </row>
    <row r="1326" spans="1:21" ht="51">
      <c r="A1326" s="6">
        <v>43425.998194444444</v>
      </c>
      <c r="B1326" s="7" t="str">
        <f>HYPERLINK("https://twitter.com/mariano_alonsof","@mariano_alonsof")</f>
        <v>@mariano_alonsof</v>
      </c>
      <c r="C1326" s="8" t="s">
        <v>3120</v>
      </c>
      <c r="D1326" s="9" t="s">
        <v>3121</v>
      </c>
      <c r="E1326" s="10" t="str">
        <f>HYPERLINK("https://twitter.com/mariano_alonsof/status/1065514569039314944","1065514569039314944")</f>
        <v>1065514569039314944</v>
      </c>
      <c r="F1326" s="11"/>
      <c r="G1326" s="11"/>
      <c r="H1326" s="11"/>
      <c r="I1326" s="12">
        <v>3</v>
      </c>
      <c r="J1326" s="12">
        <v>6</v>
      </c>
      <c r="K1326" s="13" t="str">
        <f>HYPERLINK("http://twitter.com/download/iphone","Twitter for iPhone")</f>
        <v>Twitter for iPhone</v>
      </c>
      <c r="L1326" s="12">
        <v>8076</v>
      </c>
      <c r="M1326" s="12">
        <v>4662</v>
      </c>
      <c r="N1326" s="12">
        <v>202</v>
      </c>
      <c r="O1326" s="15"/>
      <c r="P1326" s="6">
        <v>40645.178298611107</v>
      </c>
      <c r="Q1326" s="16" t="s">
        <v>3124</v>
      </c>
      <c r="R1326" s="17" t="s">
        <v>3125</v>
      </c>
      <c r="S1326" s="11"/>
      <c r="T1326" s="11"/>
      <c r="U1326" s="10" t="str">
        <f>HYPERLINK("https://pbs.twimg.com/profile_images/1043827567457964032/ENd9GkIh.jpg","View")</f>
        <v>View</v>
      </c>
    </row>
    <row r="1327" spans="1:21" ht="51">
      <c r="A1327" s="6">
        <v>43425.997430555552</v>
      </c>
      <c r="B1327" s="7" t="str">
        <f>HYPERLINK("https://twitter.com/nalalop","@nalalop")</f>
        <v>@nalalop</v>
      </c>
      <c r="C1327" s="8" t="s">
        <v>3126</v>
      </c>
      <c r="D1327" s="9" t="s">
        <v>3127</v>
      </c>
      <c r="E1327" s="10" t="str">
        <f>HYPERLINK("https://twitter.com/nalalop/status/1065514293284749312","1065514293284749312")</f>
        <v>1065514293284749312</v>
      </c>
      <c r="F1327" s="14" t="s">
        <v>529</v>
      </c>
      <c r="G1327" s="11"/>
      <c r="H1327" s="11"/>
      <c r="I1327" s="12">
        <v>9</v>
      </c>
      <c r="J1327" s="12">
        <v>11</v>
      </c>
      <c r="K1327" s="13" t="str">
        <f t="shared" ref="K1327:K1328" si="275">HYPERLINK("http://twitter.com/download/android","Twitter for Android")</f>
        <v>Twitter for Android</v>
      </c>
      <c r="L1327" s="12">
        <v>4958</v>
      </c>
      <c r="M1327" s="12">
        <v>2733</v>
      </c>
      <c r="N1327" s="12">
        <v>51</v>
      </c>
      <c r="O1327" s="15"/>
      <c r="P1327" s="6">
        <v>40952.145671296297</v>
      </c>
      <c r="Q1327" s="16" t="s">
        <v>28</v>
      </c>
      <c r="R1327" s="17" t="s">
        <v>3128</v>
      </c>
      <c r="S1327" s="11"/>
      <c r="T1327" s="11"/>
      <c r="U1327" s="10" t="str">
        <f>HYPERLINK("https://pbs.twimg.com/profile_images/1001129427659522049/v94M1hcP.jpg","View")</f>
        <v>View</v>
      </c>
    </row>
    <row r="1328" spans="1:21" ht="51">
      <c r="A1328" s="6">
        <v>43425.997303240743</v>
      </c>
      <c r="B1328" s="7" t="str">
        <f>HYPERLINK("https://twitter.com/FranCasamayor","@FranCasamayor")</f>
        <v>@FranCasamayor</v>
      </c>
      <c r="C1328" s="8" t="s">
        <v>3129</v>
      </c>
      <c r="D1328" s="9" t="s">
        <v>3130</v>
      </c>
      <c r="E1328" s="10" t="str">
        <f>HYPERLINK("https://twitter.com/FranCasamayor/status/1065514248435105792","1065514248435105792")</f>
        <v>1065514248435105792</v>
      </c>
      <c r="F1328" s="14" t="s">
        <v>96</v>
      </c>
      <c r="G1328" s="14" t="s">
        <v>3133</v>
      </c>
      <c r="H1328" s="11"/>
      <c r="I1328" s="12">
        <v>36</v>
      </c>
      <c r="J1328" s="12">
        <v>31</v>
      </c>
      <c r="K1328" s="13" t="str">
        <f t="shared" si="275"/>
        <v>Twitter for Android</v>
      </c>
      <c r="L1328" s="12">
        <v>4624</v>
      </c>
      <c r="M1328" s="12">
        <v>2344</v>
      </c>
      <c r="N1328" s="12">
        <v>49</v>
      </c>
      <c r="O1328" s="18" t="s">
        <v>52</v>
      </c>
      <c r="P1328" s="6">
        <v>40474.139837962961</v>
      </c>
      <c r="Q1328" s="16" t="s">
        <v>93</v>
      </c>
      <c r="R1328" s="17" t="s">
        <v>3136</v>
      </c>
      <c r="S1328" s="11"/>
      <c r="T1328" s="11"/>
      <c r="U1328" s="10" t="str">
        <f>HYPERLINK("https://pbs.twimg.com/profile_images/950139048873558016/v31ewLZP.jpg","View")</f>
        <v>View</v>
      </c>
    </row>
    <row r="1329" spans="1:21" ht="40.799999999999997">
      <c r="A1329" s="6">
        <v>43425.997164351851</v>
      </c>
      <c r="B1329" s="7" t="str">
        <f>HYPERLINK("https://twitter.com/manuel_soca","@manuel_soca")</f>
        <v>@manuel_soca</v>
      </c>
      <c r="C1329" s="8" t="s">
        <v>6403</v>
      </c>
      <c r="D1329" s="9" t="s">
        <v>768</v>
      </c>
      <c r="E1329" s="10" t="str">
        <f>HYPERLINK("https://twitter.com/manuel_soca/status/1065514195851063296","1065514195851063296")</f>
        <v>1065514195851063296</v>
      </c>
      <c r="F1329" s="14" t="s">
        <v>529</v>
      </c>
      <c r="G1329" s="11"/>
      <c r="H1329" s="11"/>
      <c r="I1329" s="12">
        <v>0</v>
      </c>
      <c r="J1329" s="12">
        <v>0</v>
      </c>
      <c r="K1329" s="13" t="str">
        <f>HYPERLINK("http://twitter.com","Twitter Web Client")</f>
        <v>Twitter Web Client</v>
      </c>
      <c r="L1329" s="12">
        <v>267</v>
      </c>
      <c r="M1329" s="12">
        <v>805</v>
      </c>
      <c r="N1329" s="12">
        <v>0</v>
      </c>
      <c r="O1329" s="15"/>
      <c r="P1329" s="6">
        <v>41792.440752314811</v>
      </c>
      <c r="Q1329" s="11"/>
      <c r="R1329" s="17" t="s">
        <v>6404</v>
      </c>
      <c r="S1329" s="11"/>
      <c r="T1329" s="11"/>
      <c r="U1329" s="10" t="str">
        <f>HYPERLINK("https://pbs.twimg.com/profile_images/877900013656997888/nfGwmPOk.jpg","View")</f>
        <v>View</v>
      </c>
    </row>
    <row r="1330" spans="1:21" ht="20.399999999999999">
      <c r="A1330" s="6">
        <v>43425.996886574074</v>
      </c>
      <c r="B1330" s="7" t="str">
        <f>HYPERLINK("https://twitter.com/CarlesSpa","@CarlesSpa")</f>
        <v>@CarlesSpa</v>
      </c>
      <c r="C1330" s="8" t="s">
        <v>3139</v>
      </c>
      <c r="D1330" s="9" t="s">
        <v>3140</v>
      </c>
      <c r="E1330" s="10" t="str">
        <f>HYPERLINK("https://twitter.com/CarlesSpa/status/1065514098039930881","1065514098039930881")</f>
        <v>1065514098039930881</v>
      </c>
      <c r="F1330" s="14" t="s">
        <v>96</v>
      </c>
      <c r="G1330" s="11"/>
      <c r="H1330" s="11"/>
      <c r="I1330" s="12">
        <v>0</v>
      </c>
      <c r="J1330" s="12">
        <v>0</v>
      </c>
      <c r="K1330" s="13" t="str">
        <f>HYPERLINK("http://twitter.com/download/android","Twitter for Android")</f>
        <v>Twitter for Android</v>
      </c>
      <c r="L1330" s="12">
        <v>1475</v>
      </c>
      <c r="M1330" s="12">
        <v>885</v>
      </c>
      <c r="N1330" s="12">
        <v>34</v>
      </c>
      <c r="O1330" s="15"/>
      <c r="P1330" s="6">
        <v>40896.505891203706</v>
      </c>
      <c r="Q1330" s="16" t="s">
        <v>1721</v>
      </c>
      <c r="R1330" s="17" t="s">
        <v>3142</v>
      </c>
      <c r="S1330" s="11"/>
      <c r="T1330" s="11"/>
      <c r="U1330" s="10" t="str">
        <f>HYPERLINK("https://pbs.twimg.com/profile_images/1034826967860891656/I-1Yl5L8.jpg","View")</f>
        <v>View</v>
      </c>
    </row>
    <row r="1331" spans="1:21" ht="40.799999999999997">
      <c r="A1331" s="6">
        <v>43425.995821759258</v>
      </c>
      <c r="B1331" s="7" t="str">
        <f>HYPERLINK("https://twitter.com/agarzon","@agarzon")</f>
        <v>@agarzon</v>
      </c>
      <c r="C1331" s="8" t="s">
        <v>3143</v>
      </c>
      <c r="D1331" s="9" t="s">
        <v>3144</v>
      </c>
      <c r="E1331" s="10" t="str">
        <f>HYPERLINK("https://twitter.com/agarzon/status/1065513710586859520","1065513710586859520")</f>
        <v>1065513710586859520</v>
      </c>
      <c r="F1331" s="14" t="s">
        <v>96</v>
      </c>
      <c r="G1331" s="11"/>
      <c r="H1331" s="11"/>
      <c r="I1331" s="12">
        <v>1640</v>
      </c>
      <c r="J1331" s="12">
        <v>3514</v>
      </c>
      <c r="K1331" s="13" t="str">
        <f>HYPERLINK("http://twitter.com/download/iphone","Twitter for iPhone")</f>
        <v>Twitter for iPhone</v>
      </c>
      <c r="L1331" s="12">
        <v>1029397</v>
      </c>
      <c r="M1331" s="12">
        <v>1181</v>
      </c>
      <c r="N1331" s="12">
        <v>6302</v>
      </c>
      <c r="O1331" s="18" t="s">
        <v>52</v>
      </c>
      <c r="P1331" s="6">
        <v>39453.192858796298</v>
      </c>
      <c r="Q1331" s="16" t="s">
        <v>3147</v>
      </c>
      <c r="R1331" s="17" t="s">
        <v>3148</v>
      </c>
      <c r="S1331" s="14" t="s">
        <v>3149</v>
      </c>
      <c r="T1331" s="11"/>
      <c r="U1331" s="10" t="str">
        <f>HYPERLINK("https://pbs.twimg.com/profile_images/760028030479831040/743PYZds.jpg","View")</f>
        <v>View</v>
      </c>
    </row>
    <row r="1332" spans="1:21" ht="51">
      <c r="A1332" s="6">
        <v>43425.995706018519</v>
      </c>
      <c r="B1332" s="7" t="str">
        <f>HYPERLINK("https://twitter.com/CabreraMaby","@CabreraMaby")</f>
        <v>@CabreraMaby</v>
      </c>
      <c r="C1332" s="8" t="s">
        <v>1691</v>
      </c>
      <c r="D1332" s="9" t="s">
        <v>3150</v>
      </c>
      <c r="E1332" s="10" t="str">
        <f>HYPERLINK("https://twitter.com/CabreraMaby/status/1065513666618032128","1065513666618032128")</f>
        <v>1065513666618032128</v>
      </c>
      <c r="F1332" s="14" t="s">
        <v>96</v>
      </c>
      <c r="G1332" s="11"/>
      <c r="H1332" s="11"/>
      <c r="I1332" s="12">
        <v>10</v>
      </c>
      <c r="J1332" s="12">
        <v>13</v>
      </c>
      <c r="K1332" s="13" t="str">
        <f>HYPERLINK("https://about.twitter.com/products/tweetdeck","TweetDeck")</f>
        <v>TweetDeck</v>
      </c>
      <c r="L1332" s="12">
        <v>2749</v>
      </c>
      <c r="M1332" s="12">
        <v>2600</v>
      </c>
      <c r="N1332" s="12">
        <v>35</v>
      </c>
      <c r="O1332" s="15"/>
      <c r="P1332" s="6">
        <v>41804.598240740743</v>
      </c>
      <c r="Q1332" s="11"/>
      <c r="R1332" s="17" t="s">
        <v>1694</v>
      </c>
      <c r="S1332" s="11"/>
      <c r="T1332" s="11"/>
      <c r="U1332" s="10" t="str">
        <f>HYPERLINK("https://pbs.twimg.com/profile_images/1053015456582443009/64i7gd9q.jpg","View")</f>
        <v>View</v>
      </c>
    </row>
    <row r="1333" spans="1:21" ht="40.799999999999997">
      <c r="A1333" s="6">
        <v>43425.995370370365</v>
      </c>
      <c r="B1333" s="7" t="str">
        <f>HYPERLINK("https://twitter.com/jjalonso_grx","@jjalonso_grx")</f>
        <v>@jjalonso_grx</v>
      </c>
      <c r="C1333" s="8" t="s">
        <v>6405</v>
      </c>
      <c r="D1333" s="9" t="s">
        <v>6406</v>
      </c>
      <c r="E1333" s="10" t="str">
        <f>HYPERLINK("https://twitter.com/jjalonso_grx/status/1065513547231309824","1065513547231309824")</f>
        <v>1065513547231309824</v>
      </c>
      <c r="F1333" s="14" t="s">
        <v>529</v>
      </c>
      <c r="G1333" s="11"/>
      <c r="H1333" s="11"/>
      <c r="I1333" s="12">
        <v>0</v>
      </c>
      <c r="J1333" s="12">
        <v>3</v>
      </c>
      <c r="K1333" s="13" t="str">
        <f>HYPERLINK("http://twitter.com","Twitter Web Client")</f>
        <v>Twitter Web Client</v>
      </c>
      <c r="L1333" s="12">
        <v>649</v>
      </c>
      <c r="M1333" s="12">
        <v>1011</v>
      </c>
      <c r="N1333" s="12">
        <v>11</v>
      </c>
      <c r="O1333" s="15"/>
      <c r="P1333" s="6">
        <v>41336.435682870375</v>
      </c>
      <c r="Q1333" s="16" t="s">
        <v>6407</v>
      </c>
      <c r="R1333" s="17" t="s">
        <v>6408</v>
      </c>
      <c r="S1333" s="11"/>
      <c r="T1333" s="11"/>
      <c r="U1333" s="10" t="str">
        <f>HYPERLINK("https://pbs.twimg.com/profile_images/1046029057656320000/3Ws7wX0r.jpg","View")</f>
        <v>View</v>
      </c>
    </row>
    <row r="1334" spans="1:21" ht="20.399999999999999">
      <c r="A1334" s="6">
        <v>43425.994513888887</v>
      </c>
      <c r="B1334" s="7" t="str">
        <f>HYPERLINK("https://twitter.com/jaimedizsanz","@jaimedizsanz")</f>
        <v>@jaimedizsanz</v>
      </c>
      <c r="C1334" s="8" t="s">
        <v>6409</v>
      </c>
      <c r="D1334" s="9" t="s">
        <v>768</v>
      </c>
      <c r="E1334" s="10" t="str">
        <f>HYPERLINK("https://twitter.com/jaimedizsanz/status/1065513236316020736","1065513236316020736")</f>
        <v>1065513236316020736</v>
      </c>
      <c r="F1334" s="14" t="s">
        <v>529</v>
      </c>
      <c r="G1334" s="11"/>
      <c r="H1334" s="11"/>
      <c r="I1334" s="12">
        <v>0</v>
      </c>
      <c r="J1334" s="12">
        <v>0</v>
      </c>
      <c r="K1334" s="13" t="str">
        <f>HYPERLINK("http://twitter.com/download/iphone","Twitter for iPhone")</f>
        <v>Twitter for iPhone</v>
      </c>
      <c r="L1334" s="12">
        <v>82</v>
      </c>
      <c r="M1334" s="12">
        <v>382</v>
      </c>
      <c r="N1334" s="12">
        <v>2</v>
      </c>
      <c r="O1334" s="15"/>
      <c r="P1334" s="6">
        <v>40079.669756944444</v>
      </c>
      <c r="Q1334" s="16" t="s">
        <v>6410</v>
      </c>
      <c r="R1334" s="17" t="s">
        <v>6411</v>
      </c>
      <c r="S1334" s="14" t="s">
        <v>6412</v>
      </c>
      <c r="T1334" s="11"/>
      <c r="U1334" s="10" t="str">
        <f>HYPERLINK("https://pbs.twimg.com/profile_images/606174638394195968/QQd4RsNc.jpg","View")</f>
        <v>View</v>
      </c>
    </row>
    <row r="1335" spans="1:21" ht="40.799999999999997">
      <c r="A1335" s="6">
        <v>43425.992708333331</v>
      </c>
      <c r="B1335" s="7" t="str">
        <f>HYPERLINK("https://twitter.com/ahorapodemos","@ahorapodemos")</f>
        <v>@ahorapodemos</v>
      </c>
      <c r="C1335" s="8" t="s">
        <v>48</v>
      </c>
      <c r="D1335" s="9" t="s">
        <v>3151</v>
      </c>
      <c r="E1335" s="10" t="str">
        <f>HYPERLINK("https://twitter.com/ahorapodemos/status/1065512580905664513","1065512580905664513")</f>
        <v>1065512580905664513</v>
      </c>
      <c r="F1335" s="14" t="s">
        <v>96</v>
      </c>
      <c r="G1335" s="14" t="s">
        <v>3154</v>
      </c>
      <c r="H1335" s="11"/>
      <c r="I1335" s="12">
        <v>113</v>
      </c>
      <c r="J1335" s="12">
        <v>132</v>
      </c>
      <c r="K1335" s="13" t="str">
        <f>HYPERLINK("https://about.twitter.com/products/tweetdeck","TweetDeck")</f>
        <v>TweetDeck</v>
      </c>
      <c r="L1335" s="12">
        <v>1338987</v>
      </c>
      <c r="M1335" s="12">
        <v>1529</v>
      </c>
      <c r="N1335" s="12">
        <v>5654</v>
      </c>
      <c r="O1335" s="18" t="s">
        <v>52</v>
      </c>
      <c r="P1335" s="6">
        <v>41651.201979166668</v>
      </c>
      <c r="Q1335" s="16" t="s">
        <v>54</v>
      </c>
      <c r="R1335" s="17" t="s">
        <v>56</v>
      </c>
      <c r="S1335" s="14" t="s">
        <v>58</v>
      </c>
      <c r="T1335" s="11"/>
      <c r="U1335" s="10" t="str">
        <f>HYPERLINK("https://pbs.twimg.com/profile_images/1036536413548892160/J0K-j7cz.jpg","View")</f>
        <v>View</v>
      </c>
    </row>
    <row r="1336" spans="1:21" ht="40.799999999999997">
      <c r="A1336" s="6">
        <v>43425.992395833338</v>
      </c>
      <c r="B1336" s="7" t="str">
        <f>HYPERLINK("https://twitter.com/Montanesabordo","@Montanesabordo")</f>
        <v>@Montanesabordo</v>
      </c>
      <c r="C1336" s="8" t="s">
        <v>6413</v>
      </c>
      <c r="D1336" s="9" t="s">
        <v>6414</v>
      </c>
      <c r="E1336" s="10" t="str">
        <f>HYPERLINK("https://twitter.com/Montanesabordo/status/1065512470192754688","1065512470192754688")</f>
        <v>1065512470192754688</v>
      </c>
      <c r="F1336" s="14" t="s">
        <v>529</v>
      </c>
      <c r="G1336" s="11"/>
      <c r="H1336" s="11"/>
      <c r="I1336" s="12">
        <v>0</v>
      </c>
      <c r="J1336" s="12">
        <v>0</v>
      </c>
      <c r="K1336" s="13" t="str">
        <f>HYPERLINK("http://twitter.com","Twitter Web Client")</f>
        <v>Twitter Web Client</v>
      </c>
      <c r="L1336" s="12">
        <v>259</v>
      </c>
      <c r="M1336" s="12">
        <v>235</v>
      </c>
      <c r="N1336" s="12">
        <v>8</v>
      </c>
      <c r="O1336" s="15"/>
      <c r="P1336" s="6">
        <v>40845.143460648149</v>
      </c>
      <c r="Q1336" s="16" t="s">
        <v>27</v>
      </c>
      <c r="R1336" s="19"/>
      <c r="S1336" s="11"/>
      <c r="T1336" s="11"/>
      <c r="U1336" s="10" t="str">
        <f>HYPERLINK("https://pbs.twimg.com/profile_images/990882719470059520/ipbWJcrY.jpg","View")</f>
        <v>View</v>
      </c>
    </row>
    <row r="1337" spans="1:21" ht="51">
      <c r="A1337" s="6">
        <v>43425.99219907407</v>
      </c>
      <c r="B1337" s="7" t="str">
        <f>HYPERLINK("https://twitter.com/jesussantosalc","@jesussantosalc")</f>
        <v>@jesussantosalc</v>
      </c>
      <c r="C1337" s="8" t="s">
        <v>3155</v>
      </c>
      <c r="D1337" s="9" t="s">
        <v>3156</v>
      </c>
      <c r="E1337" s="10" t="str">
        <f>HYPERLINK("https://twitter.com/jesussantosalc/status/1065512396276621314","1065512396276621314")</f>
        <v>1065512396276621314</v>
      </c>
      <c r="F1337" s="14" t="s">
        <v>96</v>
      </c>
      <c r="G1337" s="11"/>
      <c r="H1337" s="11"/>
      <c r="I1337" s="12">
        <v>48</v>
      </c>
      <c r="J1337" s="12">
        <v>51</v>
      </c>
      <c r="K1337" s="13" t="str">
        <f>HYPERLINK("http://twitter.com/download/iphone","Twitter for iPhone")</f>
        <v>Twitter for iPhone</v>
      </c>
      <c r="L1337" s="12">
        <v>7493</v>
      </c>
      <c r="M1337" s="12">
        <v>5547</v>
      </c>
      <c r="N1337" s="12">
        <v>57</v>
      </c>
      <c r="O1337" s="18" t="s">
        <v>52</v>
      </c>
      <c r="P1337" s="6">
        <v>41946.073703703703</v>
      </c>
      <c r="Q1337" s="16" t="s">
        <v>3158</v>
      </c>
      <c r="R1337" s="17" t="s">
        <v>3159</v>
      </c>
      <c r="S1337" s="14" t="s">
        <v>3160</v>
      </c>
      <c r="T1337" s="11"/>
      <c r="U1337" s="10" t="str">
        <f>HYPERLINK("https://pbs.twimg.com/profile_images/1061738138136166400/nCpNAe9J.jpg","View")</f>
        <v>View</v>
      </c>
    </row>
    <row r="1338" spans="1:21" ht="81.599999999999994">
      <c r="A1338" s="6">
        <v>43425.99145833333</v>
      </c>
      <c r="B1338" s="7" t="str">
        <f>HYPERLINK("https://twitter.com/GiocondaBelliP","@GiocondaBelliP")</f>
        <v>@GiocondaBelliP</v>
      </c>
      <c r="C1338" s="8" t="s">
        <v>3161</v>
      </c>
      <c r="D1338" s="9" t="s">
        <v>3162</v>
      </c>
      <c r="E1338" s="10" t="str">
        <f>HYPERLINK("https://twitter.com/GiocondaBelliP/status/1065512128688390145","1065512128688390145")</f>
        <v>1065512128688390145</v>
      </c>
      <c r="F1338" s="14" t="s">
        <v>3163</v>
      </c>
      <c r="G1338" s="14" t="s">
        <v>3164</v>
      </c>
      <c r="H1338" s="11"/>
      <c r="I1338" s="12">
        <v>6</v>
      </c>
      <c r="J1338" s="12">
        <v>13</v>
      </c>
      <c r="K1338" s="13" t="str">
        <f>HYPERLINK("http://twitter.com","Twitter Web Client")</f>
        <v>Twitter Web Client</v>
      </c>
      <c r="L1338" s="12">
        <v>89647</v>
      </c>
      <c r="M1338" s="12">
        <v>524</v>
      </c>
      <c r="N1338" s="12">
        <v>334</v>
      </c>
      <c r="O1338" s="15"/>
      <c r="P1338" s="6">
        <v>39982.581759259258</v>
      </c>
      <c r="Q1338" s="16" t="s">
        <v>1621</v>
      </c>
      <c r="R1338" s="17" t="s">
        <v>3165</v>
      </c>
      <c r="S1338" s="14" t="s">
        <v>3166</v>
      </c>
      <c r="T1338" s="11"/>
      <c r="U1338" s="10" t="str">
        <f>HYPERLINK("https://pbs.twimg.com/profile_images/484058062307602432/WLNie3qj.jpeg","View")</f>
        <v>View</v>
      </c>
    </row>
    <row r="1339" spans="1:21" ht="40.799999999999997">
      <c r="A1339" s="6">
        <v>43425.991076388891</v>
      </c>
      <c r="B1339" s="7" t="str">
        <f>HYPERLINK("https://twitter.com/ACaballero2018","@ACaballero2018")</f>
        <v>@ACaballero2018</v>
      </c>
      <c r="C1339" s="8" t="s">
        <v>3111</v>
      </c>
      <c r="D1339" s="9" t="s">
        <v>3167</v>
      </c>
      <c r="E1339" s="10" t="str">
        <f>HYPERLINK("https://twitter.com/ACaballero2018/status/1065511991173890050","1065511991173890050")</f>
        <v>1065511991173890050</v>
      </c>
      <c r="F1339" s="11"/>
      <c r="G1339" s="11"/>
      <c r="H1339" s="11"/>
      <c r="I1339" s="12">
        <v>1</v>
      </c>
      <c r="J1339" s="12">
        <v>2</v>
      </c>
      <c r="K1339" s="13" t="str">
        <f>HYPERLINK("http://twitter.com/download/android","Twitter for Android")</f>
        <v>Twitter for Android</v>
      </c>
      <c r="L1339" s="12">
        <v>73</v>
      </c>
      <c r="M1339" s="12">
        <v>122</v>
      </c>
      <c r="N1339" s="12">
        <v>4</v>
      </c>
      <c r="O1339" s="15"/>
      <c r="P1339" s="6">
        <v>43358.367372685185</v>
      </c>
      <c r="Q1339" s="16" t="s">
        <v>3114</v>
      </c>
      <c r="R1339" s="17" t="s">
        <v>3115</v>
      </c>
      <c r="S1339" s="11"/>
      <c r="T1339" s="11"/>
      <c r="U1339" s="10" t="str">
        <f>HYPERLINK("https://pbs.twimg.com/profile_images/1040992487601582081/v1GN1mo1.jpg","View")</f>
        <v>View</v>
      </c>
    </row>
    <row r="1340" spans="1:21" ht="20.399999999999999">
      <c r="A1340" s="6">
        <v>43425.990729166668</v>
      </c>
      <c r="B1340" s="7" t="str">
        <f>HYPERLINK("https://twitter.com/ciencibait","@ciencibait")</f>
        <v>@ciencibait</v>
      </c>
      <c r="C1340" s="8" t="s">
        <v>6284</v>
      </c>
      <c r="D1340" s="9" t="s">
        <v>6415</v>
      </c>
      <c r="E1340" s="10" t="str">
        <f>HYPERLINK("https://twitter.com/ciencibait/status/1065511863251816448","1065511863251816448")</f>
        <v>1065511863251816448</v>
      </c>
      <c r="F1340" s="11"/>
      <c r="G1340" s="11"/>
      <c r="H1340" s="11"/>
      <c r="I1340" s="12">
        <v>0</v>
      </c>
      <c r="J1340" s="12">
        <v>0</v>
      </c>
      <c r="K1340" s="13" t="str">
        <f>HYPERLINK("https://cheapbotsdonequick.com","Cheap Bots, Done Quick!")</f>
        <v>Cheap Bots, Done Quick!</v>
      </c>
      <c r="L1340" s="12">
        <v>98</v>
      </c>
      <c r="M1340" s="12">
        <v>3</v>
      </c>
      <c r="N1340" s="12">
        <v>2</v>
      </c>
      <c r="O1340" s="15"/>
      <c r="P1340" s="6">
        <v>42934.188923611116</v>
      </c>
      <c r="Q1340" s="11"/>
      <c r="R1340" s="17" t="s">
        <v>6286</v>
      </c>
      <c r="S1340" s="11"/>
      <c r="T1340" s="11"/>
      <c r="U1340" s="10" t="str">
        <f>HYPERLINK("https://pbs.twimg.com/profile_images/887301235627483137/-8wg4xTJ.jpg","View")</f>
        <v>View</v>
      </c>
    </row>
    <row r="1341" spans="1:21" ht="40.799999999999997">
      <c r="A1341" s="6">
        <v>43425.990312499998</v>
      </c>
      <c r="B1341" s="7" t="str">
        <f>HYPERLINK("https://twitter.com/VeraNoelia","@VeraNoelia")</f>
        <v>@VeraNoelia</v>
      </c>
      <c r="C1341" s="8" t="s">
        <v>6416</v>
      </c>
      <c r="D1341" s="9" t="s">
        <v>5774</v>
      </c>
      <c r="E1341" s="10" t="str">
        <f>HYPERLINK("https://twitter.com/VeraNoelia/status/1065511712185565184","1065511712185565184")</f>
        <v>1065511712185565184</v>
      </c>
      <c r="F1341" s="14" t="s">
        <v>96</v>
      </c>
      <c r="G1341" s="14" t="s">
        <v>5775</v>
      </c>
      <c r="H1341" s="11"/>
      <c r="I1341" s="12">
        <v>147</v>
      </c>
      <c r="J1341" s="12">
        <v>187</v>
      </c>
      <c r="K1341" s="13" t="str">
        <f t="shared" ref="K1341:K1342" si="276">HYPERLINK("http://twitter.com","Twitter Web Client")</f>
        <v>Twitter Web Client</v>
      </c>
      <c r="L1341" s="12">
        <v>22104</v>
      </c>
      <c r="M1341" s="12">
        <v>1154</v>
      </c>
      <c r="N1341" s="12">
        <v>367</v>
      </c>
      <c r="O1341" s="18" t="s">
        <v>52</v>
      </c>
      <c r="P1341" s="6">
        <v>40522.502962962964</v>
      </c>
      <c r="Q1341" s="16" t="s">
        <v>6417</v>
      </c>
      <c r="R1341" s="17" t="s">
        <v>6418</v>
      </c>
      <c r="S1341" s="14" t="s">
        <v>6419</v>
      </c>
      <c r="T1341" s="11"/>
      <c r="U1341" s="10" t="str">
        <f>HYPERLINK("https://pbs.twimg.com/profile_images/1033818075617996803/x7oVtS0q.jpg","View")</f>
        <v>View</v>
      </c>
    </row>
    <row r="1342" spans="1:21" ht="40.799999999999997">
      <c r="A1342" s="6">
        <v>43425.99013888889</v>
      </c>
      <c r="B1342" s="7" t="str">
        <f>HYPERLINK("https://twitter.com/PodemMallorca","@PodemMallorca")</f>
        <v>@PodemMallorca</v>
      </c>
      <c r="C1342" s="8" t="s">
        <v>3168</v>
      </c>
      <c r="D1342" s="9" t="s">
        <v>3169</v>
      </c>
      <c r="E1342" s="10" t="str">
        <f>HYPERLINK("https://twitter.com/PodemMallorca/status/1065511649447051264","1065511649447051264")</f>
        <v>1065511649447051264</v>
      </c>
      <c r="F1342" s="14" t="s">
        <v>3171</v>
      </c>
      <c r="G1342" s="11"/>
      <c r="H1342" s="11"/>
      <c r="I1342" s="12">
        <v>16</v>
      </c>
      <c r="J1342" s="12">
        <v>20</v>
      </c>
      <c r="K1342" s="13" t="str">
        <f t="shared" si="276"/>
        <v>Twitter Web Client</v>
      </c>
      <c r="L1342" s="12">
        <v>5139</v>
      </c>
      <c r="M1342" s="12">
        <v>2170</v>
      </c>
      <c r="N1342" s="12">
        <v>80</v>
      </c>
      <c r="O1342" s="18" t="s">
        <v>52</v>
      </c>
      <c r="P1342" s="6">
        <v>41659.149745370371</v>
      </c>
      <c r="Q1342" s="16" t="s">
        <v>3172</v>
      </c>
      <c r="R1342" s="17" t="s">
        <v>3173</v>
      </c>
      <c r="S1342" s="14" t="s">
        <v>3174</v>
      </c>
      <c r="T1342" s="11"/>
      <c r="U1342" s="10" t="str">
        <f>HYPERLINK("https://pbs.twimg.com/profile_images/1022888485672419329/uGLbuOhl.jpg","View")</f>
        <v>View</v>
      </c>
    </row>
    <row r="1343" spans="1:21" ht="30.6">
      <c r="A1343" s="6">
        <v>43425.987893518519</v>
      </c>
      <c r="B1343" s="7" t="str">
        <f>HYPERLINK("https://twitter.com/a_degrado","@a_degrado")</f>
        <v>@a_degrado</v>
      </c>
      <c r="C1343" s="8" t="s">
        <v>6420</v>
      </c>
      <c r="D1343" s="9" t="s">
        <v>6421</v>
      </c>
      <c r="E1343" s="10" t="str">
        <f>HYPERLINK("https://twitter.com/a_degrado/status/1065510836020621312","1065510836020621312")</f>
        <v>1065510836020621312</v>
      </c>
      <c r="F1343" s="14" t="s">
        <v>529</v>
      </c>
      <c r="G1343" s="11"/>
      <c r="H1343" s="11"/>
      <c r="I1343" s="12">
        <v>1</v>
      </c>
      <c r="J1343" s="12">
        <v>0</v>
      </c>
      <c r="K1343" s="13" t="str">
        <f t="shared" ref="K1343:K1344" si="277">HYPERLINK("http://twitter.com/download/iphone","Twitter for iPhone")</f>
        <v>Twitter for iPhone</v>
      </c>
      <c r="L1343" s="12">
        <v>953</v>
      </c>
      <c r="M1343" s="12">
        <v>479</v>
      </c>
      <c r="N1343" s="12">
        <v>11</v>
      </c>
      <c r="O1343" s="15"/>
      <c r="P1343" s="6">
        <v>42911.389201388884</v>
      </c>
      <c r="Q1343" s="11"/>
      <c r="R1343" s="17" t="s">
        <v>6422</v>
      </c>
      <c r="S1343" s="11"/>
      <c r="T1343" s="11"/>
      <c r="U1343" s="10" t="str">
        <f>HYPERLINK("https://pbs.twimg.com/profile_images/879021520483471361/ylOqf-Ev.jpg","View")</f>
        <v>View</v>
      </c>
    </row>
    <row r="1344" spans="1:21" ht="51">
      <c r="A1344" s="6">
        <v>43425.987719907411</v>
      </c>
      <c r="B1344" s="7" t="str">
        <f>HYPERLINK("https://twitter.com/utopixilina","@utopixilina")</f>
        <v>@utopixilina</v>
      </c>
      <c r="C1344" s="8" t="s">
        <v>3175</v>
      </c>
      <c r="D1344" s="9" t="s">
        <v>3176</v>
      </c>
      <c r="E1344" s="10" t="str">
        <f>HYPERLINK("https://twitter.com/utopixilina/status/1065510773903032320","1065510773903032320")</f>
        <v>1065510773903032320</v>
      </c>
      <c r="F1344" s="14" t="s">
        <v>96</v>
      </c>
      <c r="G1344" s="11"/>
      <c r="H1344" s="11"/>
      <c r="I1344" s="12">
        <v>0</v>
      </c>
      <c r="J1344" s="12">
        <v>0</v>
      </c>
      <c r="K1344" s="13" t="str">
        <f t="shared" si="277"/>
        <v>Twitter for iPhone</v>
      </c>
      <c r="L1344" s="12">
        <v>17</v>
      </c>
      <c r="M1344" s="12">
        <v>84</v>
      </c>
      <c r="N1344" s="12">
        <v>0</v>
      </c>
      <c r="O1344" s="15"/>
      <c r="P1344" s="6">
        <v>40841.469652777778</v>
      </c>
      <c r="Q1344" s="11"/>
      <c r="R1344" s="17" t="s">
        <v>3178</v>
      </c>
      <c r="S1344" s="11"/>
      <c r="T1344" s="11"/>
      <c r="U1344" s="10" t="str">
        <f>HYPERLINK("https://pbs.twimg.com/profile_images/1796621548/images.jpg","View")</f>
        <v>View</v>
      </c>
    </row>
    <row r="1345" spans="1:21" ht="40.799999999999997">
      <c r="A1345" s="6">
        <v>43425.987696759257</v>
      </c>
      <c r="B1345" s="7" t="str">
        <f>HYPERLINK("https://twitter.com/chantalapiedra","@chantalapiedra")</f>
        <v>@chantalapiedra</v>
      </c>
      <c r="C1345" s="8" t="s">
        <v>6423</v>
      </c>
      <c r="D1345" s="9" t="s">
        <v>6424</v>
      </c>
      <c r="E1345" s="10" t="str">
        <f>HYPERLINK("https://twitter.com/chantalapiedra/status/1065510766667808768","1065510766667808768")</f>
        <v>1065510766667808768</v>
      </c>
      <c r="F1345" s="14" t="s">
        <v>529</v>
      </c>
      <c r="G1345" s="11"/>
      <c r="H1345" s="11"/>
      <c r="I1345" s="12">
        <v>0</v>
      </c>
      <c r="J1345" s="12">
        <v>0</v>
      </c>
      <c r="K1345" s="13" t="str">
        <f t="shared" ref="K1345:K1346" si="278">HYPERLINK("http://twitter.com","Twitter Web Client")</f>
        <v>Twitter Web Client</v>
      </c>
      <c r="L1345" s="12">
        <v>1038</v>
      </c>
      <c r="M1345" s="12">
        <v>1175</v>
      </c>
      <c r="N1345" s="12">
        <v>3</v>
      </c>
      <c r="O1345" s="15"/>
      <c r="P1345" s="6">
        <v>41949.288611111115</v>
      </c>
      <c r="Q1345" s="16" t="s">
        <v>28</v>
      </c>
      <c r="R1345" s="17" t="s">
        <v>6425</v>
      </c>
      <c r="S1345" s="14" t="s">
        <v>6426</v>
      </c>
      <c r="T1345" s="11"/>
      <c r="U1345" s="10" t="str">
        <f>HYPERLINK("https://pbs.twimg.com/profile_images/1064611823985528835/eMkrMFoc.jpg","View")</f>
        <v>View</v>
      </c>
    </row>
    <row r="1346" spans="1:21" ht="30.6">
      <c r="A1346" s="6">
        <v>43425.987256944441</v>
      </c>
      <c r="B1346" s="7" t="str">
        <f>HYPERLINK("https://twitter.com/HeiwaPaz","@HeiwaPaz")</f>
        <v>@HeiwaPaz</v>
      </c>
      <c r="C1346" s="8" t="s">
        <v>6427</v>
      </c>
      <c r="D1346" s="9" t="s">
        <v>2895</v>
      </c>
      <c r="E1346" s="10" t="str">
        <f>HYPERLINK("https://twitter.com/HeiwaPaz/status/1065510605174595584","1065510605174595584")</f>
        <v>1065510605174595584</v>
      </c>
      <c r="F1346" s="14" t="s">
        <v>529</v>
      </c>
      <c r="G1346" s="11"/>
      <c r="H1346" s="11"/>
      <c r="I1346" s="12">
        <v>0</v>
      </c>
      <c r="J1346" s="12">
        <v>2</v>
      </c>
      <c r="K1346" s="13" t="str">
        <f t="shared" si="278"/>
        <v>Twitter Web Client</v>
      </c>
      <c r="L1346" s="12">
        <v>1335</v>
      </c>
      <c r="M1346" s="12">
        <v>3465</v>
      </c>
      <c r="N1346" s="12">
        <v>17</v>
      </c>
      <c r="O1346" s="15"/>
      <c r="P1346" s="6">
        <v>40524.459178240737</v>
      </c>
      <c r="Q1346" s="16" t="s">
        <v>6428</v>
      </c>
      <c r="R1346" s="17" t="s">
        <v>6429</v>
      </c>
      <c r="S1346" s="11"/>
      <c r="T1346" s="11"/>
      <c r="U1346" s="10" t="str">
        <f>HYPERLINK("https://pbs.twimg.com/profile_images/927113132832681985/zjufUYug.jpg","View")</f>
        <v>View</v>
      </c>
    </row>
    <row r="1347" spans="1:21" ht="40.799999999999997">
      <c r="A1347" s="6">
        <v>43425.985983796301</v>
      </c>
      <c r="B1347" s="7" t="str">
        <f>HYPERLINK("https://twitter.com/jvmendezdeleon","@jvmendezdeleon")</f>
        <v>@jvmendezdeleon</v>
      </c>
      <c r="C1347" s="8" t="s">
        <v>6430</v>
      </c>
      <c r="D1347" s="9" t="s">
        <v>2546</v>
      </c>
      <c r="E1347" s="10" t="str">
        <f>HYPERLINK("https://twitter.com/jvmendezdeleon/status/1065510145264926720","1065510145264926720")</f>
        <v>1065510145264926720</v>
      </c>
      <c r="F1347" s="14" t="s">
        <v>529</v>
      </c>
      <c r="G1347" s="11"/>
      <c r="H1347" s="11"/>
      <c r="I1347" s="12">
        <v>3</v>
      </c>
      <c r="J1347" s="12">
        <v>2</v>
      </c>
      <c r="K1347" s="13" t="str">
        <f>HYPERLINK("http://twitter.com/download/android","Twitter for Android")</f>
        <v>Twitter for Android</v>
      </c>
      <c r="L1347" s="12">
        <v>5299</v>
      </c>
      <c r="M1347" s="12">
        <v>4484</v>
      </c>
      <c r="N1347" s="12">
        <v>97</v>
      </c>
      <c r="O1347" s="15"/>
      <c r="P1347" s="6">
        <v>40351.128310185188</v>
      </c>
      <c r="Q1347" s="16" t="s">
        <v>6431</v>
      </c>
      <c r="R1347" s="17" t="s">
        <v>6432</v>
      </c>
      <c r="S1347" s="14" t="s">
        <v>6433</v>
      </c>
      <c r="T1347" s="11"/>
      <c r="U1347" s="10" t="str">
        <f>HYPERLINK("https://pbs.twimg.com/profile_images/1065213577253007360/o85nZ_xM.jpg","View")</f>
        <v>View</v>
      </c>
    </row>
    <row r="1348" spans="1:21" ht="40.799999999999997">
      <c r="A1348" s="6">
        <v>43425.985925925925</v>
      </c>
      <c r="B1348" s="7" t="str">
        <f>HYPERLINK("https://twitter.com/APachinMelas","@APachinMelas")</f>
        <v>@APachinMelas</v>
      </c>
      <c r="C1348" s="8" t="s">
        <v>6434</v>
      </c>
      <c r="D1348" s="9" t="s">
        <v>6435</v>
      </c>
      <c r="E1348" s="10" t="str">
        <f>HYPERLINK("https://twitter.com/APachinMelas/status/1065510126021472256","1065510126021472256")</f>
        <v>1065510126021472256</v>
      </c>
      <c r="F1348" s="14" t="s">
        <v>529</v>
      </c>
      <c r="G1348" s="11"/>
      <c r="H1348" s="11"/>
      <c r="I1348" s="12">
        <v>0</v>
      </c>
      <c r="J1348" s="12">
        <v>0</v>
      </c>
      <c r="K1348" s="13" t="str">
        <f t="shared" ref="K1348:K1350" si="279">HYPERLINK("http://twitter.com","Twitter Web Client")</f>
        <v>Twitter Web Client</v>
      </c>
      <c r="L1348" s="12">
        <v>21</v>
      </c>
      <c r="M1348" s="12">
        <v>0</v>
      </c>
      <c r="N1348" s="12">
        <v>5</v>
      </c>
      <c r="O1348" s="15"/>
      <c r="P1348" s="6">
        <v>41823.166701388887</v>
      </c>
      <c r="Q1348" s="11"/>
      <c r="R1348" s="19"/>
      <c r="S1348" s="11"/>
      <c r="T1348" s="11"/>
      <c r="U1348" s="18" t="s">
        <v>168</v>
      </c>
    </row>
    <row r="1349" spans="1:21" ht="30.6">
      <c r="A1349" s="6">
        <v>43425.984525462962</v>
      </c>
      <c r="B1349" s="7" t="str">
        <f>HYPERLINK("https://twitter.com/Enebral51","@Enebral51")</f>
        <v>@Enebral51</v>
      </c>
      <c r="C1349" s="8" t="s">
        <v>6436</v>
      </c>
      <c r="D1349" s="9" t="s">
        <v>768</v>
      </c>
      <c r="E1349" s="10" t="str">
        <f>HYPERLINK("https://twitter.com/Enebral51/status/1065509616522530816","1065509616522530816")</f>
        <v>1065509616522530816</v>
      </c>
      <c r="F1349" s="14" t="s">
        <v>529</v>
      </c>
      <c r="G1349" s="11"/>
      <c r="H1349" s="11"/>
      <c r="I1349" s="12">
        <v>1</v>
      </c>
      <c r="J1349" s="12">
        <v>1</v>
      </c>
      <c r="K1349" s="13" t="str">
        <f t="shared" si="279"/>
        <v>Twitter Web Client</v>
      </c>
      <c r="L1349" s="12">
        <v>136</v>
      </c>
      <c r="M1349" s="12">
        <v>108</v>
      </c>
      <c r="N1349" s="12">
        <v>1</v>
      </c>
      <c r="O1349" s="15"/>
      <c r="P1349" s="6">
        <v>41609.560439814813</v>
      </c>
      <c r="Q1349" s="16" t="s">
        <v>38</v>
      </c>
      <c r="R1349" s="17" t="s">
        <v>6437</v>
      </c>
      <c r="S1349" s="11"/>
      <c r="T1349" s="11"/>
      <c r="U1349" s="10" t="str">
        <f>HYPERLINK("https://pbs.twimg.com/profile_images/946461047891914754/GeM54WZy.jpg","View")</f>
        <v>View</v>
      </c>
    </row>
    <row r="1350" spans="1:21" ht="40.799999999999997">
      <c r="A1350" s="6">
        <v>43425.984479166669</v>
      </c>
      <c r="B1350" s="7" t="str">
        <f>HYPERLINK("https://twitter.com/PdmIllesBalears","@PdmIllesBalears")</f>
        <v>@PdmIllesBalears</v>
      </c>
      <c r="C1350" s="8" t="s">
        <v>185</v>
      </c>
      <c r="D1350" s="9" t="s">
        <v>3180</v>
      </c>
      <c r="E1350" s="10" t="str">
        <f>HYPERLINK("https://twitter.com/PdmIllesBalears/status/1065509598419922944","1065509598419922944")</f>
        <v>1065509598419922944</v>
      </c>
      <c r="F1350" s="14" t="s">
        <v>3171</v>
      </c>
      <c r="G1350" s="11"/>
      <c r="H1350" s="11"/>
      <c r="I1350" s="12">
        <v>11</v>
      </c>
      <c r="J1350" s="12">
        <v>12</v>
      </c>
      <c r="K1350" s="13" t="str">
        <f t="shared" si="279"/>
        <v>Twitter Web Client</v>
      </c>
      <c r="L1350" s="12">
        <v>5551</v>
      </c>
      <c r="M1350" s="12">
        <v>4205</v>
      </c>
      <c r="N1350" s="12">
        <v>104</v>
      </c>
      <c r="O1350" s="18" t="s">
        <v>52</v>
      </c>
      <c r="P1350" s="6">
        <v>42018.447488425925</v>
      </c>
      <c r="Q1350" s="16" t="s">
        <v>190</v>
      </c>
      <c r="R1350" s="17" t="s">
        <v>191</v>
      </c>
      <c r="S1350" s="14" t="s">
        <v>192</v>
      </c>
      <c r="T1350" s="11"/>
      <c r="U1350" s="10" t="str">
        <f>HYPERLINK("https://pbs.twimg.com/profile_images/1022888679549886466/o7fj6MbP.jpg","View")</f>
        <v>View</v>
      </c>
    </row>
    <row r="1351" spans="1:21" ht="20.399999999999999">
      <c r="A1351" s="6">
        <v>43425.983958333338</v>
      </c>
      <c r="B1351" s="7" t="str">
        <f>HYPERLINK("https://twitter.com/martinolalde","@martinolalde")</f>
        <v>@martinolalde</v>
      </c>
      <c r="C1351" s="8" t="s">
        <v>6439</v>
      </c>
      <c r="D1351" s="9" t="s">
        <v>768</v>
      </c>
      <c r="E1351" s="10" t="str">
        <f>HYPERLINK("https://twitter.com/martinolalde/status/1065509411140132865","1065509411140132865")</f>
        <v>1065509411140132865</v>
      </c>
      <c r="F1351" s="14" t="s">
        <v>529</v>
      </c>
      <c r="G1351" s="11"/>
      <c r="H1351" s="11"/>
      <c r="I1351" s="12">
        <v>0</v>
      </c>
      <c r="J1351" s="12">
        <v>1</v>
      </c>
      <c r="K1351" s="13" t="str">
        <f>HYPERLINK("http://twitter.com/#!/download/ipad","Twitter for iPad")</f>
        <v>Twitter for iPad</v>
      </c>
      <c r="L1351" s="12">
        <v>531</v>
      </c>
      <c r="M1351" s="12">
        <v>379</v>
      </c>
      <c r="N1351" s="12">
        <v>5</v>
      </c>
      <c r="O1351" s="15"/>
      <c r="P1351" s="6">
        <v>40844.186192129629</v>
      </c>
      <c r="Q1351" s="16" t="s">
        <v>3779</v>
      </c>
      <c r="R1351" s="19"/>
      <c r="S1351" s="11"/>
      <c r="T1351" s="11"/>
      <c r="U1351" s="10" t="str">
        <f>HYPERLINK("https://pbs.twimg.com/profile_images/729215561125789696/tDc9PZfv.jpg","View")</f>
        <v>View</v>
      </c>
    </row>
    <row r="1352" spans="1:21" ht="30.6">
      <c r="A1352" s="6">
        <v>43425.983807870369</v>
      </c>
      <c r="B1352" s="7" t="str">
        <f>HYPERLINK("https://twitter.com/arafararas","@arafararas")</f>
        <v>@arafararas</v>
      </c>
      <c r="C1352" s="8" t="s">
        <v>3181</v>
      </c>
      <c r="D1352" s="9" t="s">
        <v>3182</v>
      </c>
      <c r="E1352" s="10" t="str">
        <f>HYPERLINK("https://twitter.com/arafararas/status/1065509355074871296","1065509355074871296")</f>
        <v>1065509355074871296</v>
      </c>
      <c r="F1352" s="14" t="s">
        <v>79</v>
      </c>
      <c r="G1352" s="11"/>
      <c r="H1352" s="11"/>
      <c r="I1352" s="12">
        <v>0</v>
      </c>
      <c r="J1352" s="12">
        <v>1</v>
      </c>
      <c r="K1352" s="13" t="str">
        <f>HYPERLINK("http://twitter.com/download/android","Twitter for Android")</f>
        <v>Twitter for Android</v>
      </c>
      <c r="L1352" s="12">
        <v>149</v>
      </c>
      <c r="M1352" s="12">
        <v>309</v>
      </c>
      <c r="N1352" s="12">
        <v>3</v>
      </c>
      <c r="O1352" s="15"/>
      <c r="P1352" s="6">
        <v>41452.34103009259</v>
      </c>
      <c r="Q1352" s="16" t="s">
        <v>3183</v>
      </c>
      <c r="R1352" s="17" t="s">
        <v>3184</v>
      </c>
      <c r="S1352" s="14" t="s">
        <v>3185</v>
      </c>
      <c r="T1352" s="11"/>
      <c r="U1352" s="10" t="str">
        <f>HYPERLINK("https://pbs.twimg.com/profile_images/1054154980142276609/TNPV_pT-.jpg","View")</f>
        <v>View</v>
      </c>
    </row>
    <row r="1353" spans="1:21" ht="40.799999999999997">
      <c r="A1353" s="6">
        <v>43425.983402777776</v>
      </c>
      <c r="B1353" s="7" t="str">
        <f>HYPERLINK("https://twitter.com/podemosmad","@podemosmad")</f>
        <v>@podemosmad</v>
      </c>
      <c r="C1353" s="8" t="s">
        <v>3186</v>
      </c>
      <c r="D1353" s="9" t="s">
        <v>3187</v>
      </c>
      <c r="E1353" s="10" t="str">
        <f>HYPERLINK("https://twitter.com/podemosmad/status/1065509209574449152","1065509209574449152")</f>
        <v>1065509209574449152</v>
      </c>
      <c r="F1353" s="14" t="s">
        <v>96</v>
      </c>
      <c r="G1353" s="11"/>
      <c r="H1353" s="11"/>
      <c r="I1353" s="12">
        <v>21</v>
      </c>
      <c r="J1353" s="12">
        <v>24</v>
      </c>
      <c r="K1353" s="13" t="str">
        <f>HYPERLINK("https://about.twitter.com/products/tweetdeck","TweetDeck")</f>
        <v>TweetDeck</v>
      </c>
      <c r="L1353" s="12">
        <v>33103</v>
      </c>
      <c r="M1353" s="12">
        <v>339</v>
      </c>
      <c r="N1353" s="12">
        <v>345</v>
      </c>
      <c r="O1353" s="18" t="s">
        <v>52</v>
      </c>
      <c r="P1353" s="6">
        <v>42012.114861111113</v>
      </c>
      <c r="Q1353" s="16" t="s">
        <v>38</v>
      </c>
      <c r="R1353" s="17" t="s">
        <v>3188</v>
      </c>
      <c r="S1353" s="14" t="s">
        <v>3189</v>
      </c>
      <c r="T1353" s="11"/>
      <c r="U1353" s="10" t="str">
        <f>HYPERLINK("https://pbs.twimg.com/profile_images/1049673960709861382/3eetDC6Y.jpg","View")</f>
        <v>View</v>
      </c>
    </row>
    <row r="1354" spans="1:21" ht="51">
      <c r="A1354" s="6">
        <v>43425.983391203699</v>
      </c>
      <c r="B1354" s="7" t="str">
        <f>HYPERLINK("https://twitter.com/SofCastanon","@SofCastanon")</f>
        <v>@SofCastanon</v>
      </c>
      <c r="C1354" s="8" t="s">
        <v>6440</v>
      </c>
      <c r="D1354" s="9" t="s">
        <v>6441</v>
      </c>
      <c r="E1354" s="10" t="str">
        <f>HYPERLINK("https://twitter.com/SofCastanon/status/1065509203840782336","1065509203840782336")</f>
        <v>1065509203840782336</v>
      </c>
      <c r="F1354" s="14" t="s">
        <v>96</v>
      </c>
      <c r="G1354" s="14" t="s">
        <v>3760</v>
      </c>
      <c r="H1354" s="11"/>
      <c r="I1354" s="12">
        <v>160</v>
      </c>
      <c r="J1354" s="12">
        <v>235</v>
      </c>
      <c r="K1354" s="13" t="str">
        <f t="shared" ref="K1354:K1355" si="280">HYPERLINK("http://twitter.com","Twitter Web Client")</f>
        <v>Twitter Web Client</v>
      </c>
      <c r="L1354" s="12">
        <v>13561</v>
      </c>
      <c r="M1354" s="12">
        <v>2037</v>
      </c>
      <c r="N1354" s="12">
        <v>239</v>
      </c>
      <c r="O1354" s="18" t="s">
        <v>52</v>
      </c>
      <c r="P1354" s="6">
        <v>42246.658842592587</v>
      </c>
      <c r="Q1354" s="16" t="s">
        <v>6442</v>
      </c>
      <c r="R1354" s="17" t="s">
        <v>6443</v>
      </c>
      <c r="S1354" s="14" t="s">
        <v>6444</v>
      </c>
      <c r="T1354" s="11"/>
      <c r="U1354" s="10" t="str">
        <f>HYPERLINK("https://pbs.twimg.com/profile_images/989101683467870209/LF0qz2pw.jpg","View")</f>
        <v>View</v>
      </c>
    </row>
    <row r="1355" spans="1:21" ht="51">
      <c r="A1355" s="6">
        <v>43425.982638888891</v>
      </c>
      <c r="B1355" s="7" t="str">
        <f>HYPERLINK("https://twitter.com/ionebelarra","@ionebelarra")</f>
        <v>@ionebelarra</v>
      </c>
      <c r="C1355" s="8" t="s">
        <v>3190</v>
      </c>
      <c r="D1355" s="9" t="s">
        <v>3191</v>
      </c>
      <c r="E1355" s="10" t="str">
        <f>HYPERLINK("https://twitter.com/ionebelarra/status/1065508932880408578","1065508932880408578")</f>
        <v>1065508932880408578</v>
      </c>
      <c r="F1355" s="14" t="s">
        <v>96</v>
      </c>
      <c r="G1355" s="11"/>
      <c r="H1355" s="11"/>
      <c r="I1355" s="12">
        <v>244</v>
      </c>
      <c r="J1355" s="12">
        <v>373</v>
      </c>
      <c r="K1355" s="13" t="str">
        <f t="shared" si="280"/>
        <v>Twitter Web Client</v>
      </c>
      <c r="L1355" s="12">
        <v>20654</v>
      </c>
      <c r="M1355" s="12">
        <v>1913</v>
      </c>
      <c r="N1355" s="12">
        <v>290</v>
      </c>
      <c r="O1355" s="18" t="s">
        <v>52</v>
      </c>
      <c r="P1355" s="6">
        <v>40753.309374999997</v>
      </c>
      <c r="Q1355" s="16" t="s">
        <v>3192</v>
      </c>
      <c r="R1355" s="17" t="s">
        <v>3194</v>
      </c>
      <c r="S1355" s="14" t="s">
        <v>3195</v>
      </c>
      <c r="T1355" s="11"/>
      <c r="U1355" s="10" t="str">
        <f>HYPERLINK("https://pbs.twimg.com/profile_images/972119685469736960/QnPK3TMO.jpg","View")</f>
        <v>View</v>
      </c>
    </row>
    <row r="1356" spans="1:21" ht="30.6">
      <c r="A1356" s="6">
        <v>43425.982523148152</v>
      </c>
      <c r="B1356" s="7" t="str">
        <f>HYPERLINK("https://twitter.com/_mest0","@_mest0")</f>
        <v>@_mest0</v>
      </c>
      <c r="C1356" s="8" t="s">
        <v>6445</v>
      </c>
      <c r="D1356" s="9" t="s">
        <v>6446</v>
      </c>
      <c r="E1356" s="10" t="str">
        <f>HYPERLINK("https://twitter.com/_mest0/status/1065508889838477312","1065508889838477312")</f>
        <v>1065508889838477312</v>
      </c>
      <c r="F1356" s="14" t="s">
        <v>529</v>
      </c>
      <c r="G1356" s="11"/>
      <c r="H1356" s="11"/>
      <c r="I1356" s="12">
        <v>0</v>
      </c>
      <c r="J1356" s="12">
        <v>0</v>
      </c>
      <c r="K1356" s="13" t="str">
        <f>HYPERLINK("http://twitter.com/download/android","Twitter for Android")</f>
        <v>Twitter for Android</v>
      </c>
      <c r="L1356" s="12">
        <v>92</v>
      </c>
      <c r="M1356" s="12">
        <v>75</v>
      </c>
      <c r="N1356" s="12">
        <v>3</v>
      </c>
      <c r="O1356" s="15"/>
      <c r="P1356" s="6">
        <v>42368.016481481478</v>
      </c>
      <c r="Q1356" s="16" t="s">
        <v>38</v>
      </c>
      <c r="R1356" s="17" t="s">
        <v>6447</v>
      </c>
      <c r="S1356" s="11"/>
      <c r="T1356" s="11"/>
      <c r="U1356" s="10" t="str">
        <f>HYPERLINK("https://pbs.twimg.com/profile_images/1005220640876621824/246MyQP8.jpg","View")</f>
        <v>View</v>
      </c>
    </row>
    <row r="1357" spans="1:21" ht="20.399999999999999">
      <c r="A1357" s="6">
        <v>43425.980543981481</v>
      </c>
      <c r="B1357" s="7" t="str">
        <f>HYPERLINK("https://twitter.com/logerra","@logerra")</f>
        <v>@logerra</v>
      </c>
      <c r="C1357" s="8" t="s">
        <v>6448</v>
      </c>
      <c r="D1357" s="9" t="s">
        <v>768</v>
      </c>
      <c r="E1357" s="10" t="str">
        <f>HYPERLINK("https://twitter.com/logerra/status/1065508174415974401","1065508174415974401")</f>
        <v>1065508174415974401</v>
      </c>
      <c r="F1357" s="14" t="s">
        <v>529</v>
      </c>
      <c r="G1357" s="11"/>
      <c r="H1357" s="11"/>
      <c r="I1357" s="12">
        <v>0</v>
      </c>
      <c r="J1357" s="12">
        <v>0</v>
      </c>
      <c r="K1357" s="13" t="str">
        <f>HYPERLINK("http://twitter.com","Twitter Web Client")</f>
        <v>Twitter Web Client</v>
      </c>
      <c r="L1357" s="12">
        <v>174</v>
      </c>
      <c r="M1357" s="12">
        <v>235</v>
      </c>
      <c r="N1357" s="12">
        <v>5</v>
      </c>
      <c r="O1357" s="15"/>
      <c r="P1357" s="6">
        <v>40949.266562500001</v>
      </c>
      <c r="Q1357" s="16" t="s">
        <v>6449</v>
      </c>
      <c r="R1357" s="19"/>
      <c r="S1357" s="14" t="s">
        <v>6450</v>
      </c>
      <c r="T1357" s="11"/>
      <c r="U1357" s="10" t="str">
        <f>HYPERLINK("https://pbs.twimg.com/profile_images/1009149090935042050/D1ZaFGZB.jpg","View")</f>
        <v>View</v>
      </c>
    </row>
    <row r="1358" spans="1:21" ht="61.2">
      <c r="A1358" s="6">
        <v>43425.97991898148</v>
      </c>
      <c r="B1358" s="7" t="str">
        <f>HYPERLINK("https://twitter.com/protestona1","@protestona1")</f>
        <v>@protestona1</v>
      </c>
      <c r="C1358" s="8" t="s">
        <v>521</v>
      </c>
      <c r="D1358" s="9" t="s">
        <v>3199</v>
      </c>
      <c r="E1358" s="10" t="str">
        <f>HYPERLINK("https://twitter.com/protestona1/status/1065507947214712832","1065507947214712832")</f>
        <v>1065507947214712832</v>
      </c>
      <c r="F1358" s="16" t="s">
        <v>1742</v>
      </c>
      <c r="G1358" s="14" t="s">
        <v>1431</v>
      </c>
      <c r="H1358" s="11"/>
      <c r="I1358" s="12">
        <v>30</v>
      </c>
      <c r="J1358" s="12">
        <v>60</v>
      </c>
      <c r="K1358" s="13" t="str">
        <f>HYPERLINK("http://twitter.com/download/iphone","Twitter for iPhone")</f>
        <v>Twitter for iPhone</v>
      </c>
      <c r="L1358" s="12">
        <v>151544</v>
      </c>
      <c r="M1358" s="12">
        <v>2210</v>
      </c>
      <c r="N1358" s="12">
        <v>4</v>
      </c>
      <c r="O1358" s="15"/>
      <c r="P1358" s="6">
        <v>41352.488032407404</v>
      </c>
      <c r="Q1358" s="16" t="s">
        <v>132</v>
      </c>
      <c r="R1358" s="17" t="s">
        <v>527</v>
      </c>
      <c r="S1358" s="14" t="s">
        <v>528</v>
      </c>
      <c r="T1358" s="11"/>
      <c r="U1358" s="10" t="str">
        <f>HYPERLINK("https://pbs.twimg.com/profile_images/1014938895501463552/_oCE6Q1b.jpg","View")</f>
        <v>View</v>
      </c>
    </row>
    <row r="1359" spans="1:21" ht="20.399999999999999">
      <c r="A1359" s="6">
        <v>43425.978715277779</v>
      </c>
      <c r="B1359" s="7" t="str">
        <f>HYPERLINK("https://twitter.com/ReVerguenza","@ReVerguenza")</f>
        <v>@ReVerguenza</v>
      </c>
      <c r="C1359" s="8" t="s">
        <v>6451</v>
      </c>
      <c r="D1359" s="9" t="s">
        <v>6452</v>
      </c>
      <c r="E1359" s="10" t="str">
        <f>HYPERLINK("https://twitter.com/ReVerguenza/status/1065507510742892544","1065507510742892544")</f>
        <v>1065507510742892544</v>
      </c>
      <c r="F1359" s="14" t="s">
        <v>529</v>
      </c>
      <c r="G1359" s="11"/>
      <c r="H1359" s="11"/>
      <c r="I1359" s="12">
        <v>0</v>
      </c>
      <c r="J1359" s="12">
        <v>0</v>
      </c>
      <c r="K1359" s="13" t="str">
        <f t="shared" ref="K1359:K1360" si="281">HYPERLINK("http://twitter.com","Twitter Web Client")</f>
        <v>Twitter Web Client</v>
      </c>
      <c r="L1359" s="12">
        <v>809</v>
      </c>
      <c r="M1359" s="12">
        <v>722</v>
      </c>
      <c r="N1359" s="12">
        <v>23</v>
      </c>
      <c r="O1359" s="15"/>
      <c r="P1359" s="6">
        <v>40631.428483796299</v>
      </c>
      <c r="Q1359" s="11"/>
      <c r="R1359" s="17" t="s">
        <v>6453</v>
      </c>
      <c r="S1359" s="11"/>
      <c r="T1359" s="11"/>
      <c r="U1359" s="10" t="str">
        <f>HYPERLINK("https://pbs.twimg.com/profile_images/685028530871209984/tsB1UOiY.png","View")</f>
        <v>View</v>
      </c>
    </row>
    <row r="1360" spans="1:21" ht="30.6">
      <c r="A1360" s="6">
        <v>43425.978634259256</v>
      </c>
      <c r="B1360" s="7" t="str">
        <f>HYPERLINK("https://twitter.com/belensantacruzd","@belensantacruzd")</f>
        <v>@belensantacruzd</v>
      </c>
      <c r="C1360" s="8" t="s">
        <v>3203</v>
      </c>
      <c r="D1360" s="9" t="s">
        <v>3204</v>
      </c>
      <c r="E1360" s="10" t="str">
        <f>HYPERLINK("https://twitter.com/belensantacruzd/status/1065507483798708224","1065507483798708224")</f>
        <v>1065507483798708224</v>
      </c>
      <c r="F1360" s="14" t="s">
        <v>96</v>
      </c>
      <c r="G1360" s="11"/>
      <c r="H1360" s="11"/>
      <c r="I1360" s="12">
        <v>0</v>
      </c>
      <c r="J1360" s="12">
        <v>0</v>
      </c>
      <c r="K1360" s="13" t="str">
        <f t="shared" si="281"/>
        <v>Twitter Web Client</v>
      </c>
      <c r="L1360" s="12">
        <v>464</v>
      </c>
      <c r="M1360" s="12">
        <v>1436</v>
      </c>
      <c r="N1360" s="12">
        <v>7</v>
      </c>
      <c r="O1360" s="15"/>
      <c r="P1360" s="6">
        <v>40359.254907407405</v>
      </c>
      <c r="Q1360" s="16" t="s">
        <v>38</v>
      </c>
      <c r="R1360" s="17" t="s">
        <v>3205</v>
      </c>
      <c r="S1360" s="11"/>
      <c r="T1360" s="11"/>
      <c r="U1360" s="10" t="str">
        <f>HYPERLINK("https://pbs.twimg.com/profile_images/1063462273598013443/Vn7DDpdY.jpg","View")</f>
        <v>View</v>
      </c>
    </row>
    <row r="1361" spans="1:21" ht="40.799999999999997">
      <c r="A1361" s="6">
        <v>43425.978090277778</v>
      </c>
      <c r="B1361" s="7" t="str">
        <f>HYPERLINK("https://twitter.com/Ciddavid","@Ciddavid")</f>
        <v>@Ciddavid</v>
      </c>
      <c r="C1361" s="8" t="s">
        <v>3206</v>
      </c>
      <c r="D1361" s="9" t="s">
        <v>3207</v>
      </c>
      <c r="E1361" s="10" t="str">
        <f>HYPERLINK("https://twitter.com/Ciddavid/status/1065507286527995910","1065507286527995910")</f>
        <v>1065507286527995910</v>
      </c>
      <c r="F1361" s="14" t="s">
        <v>96</v>
      </c>
      <c r="G1361" s="11"/>
      <c r="H1361" s="11"/>
      <c r="I1361" s="12">
        <v>1</v>
      </c>
      <c r="J1361" s="12">
        <v>3</v>
      </c>
      <c r="K1361" s="13" t="str">
        <f>HYPERLINK("http://twitter.com/download/iphone","Twitter for iPhone")</f>
        <v>Twitter for iPhone</v>
      </c>
      <c r="L1361" s="12">
        <v>5757</v>
      </c>
      <c r="M1361" s="12">
        <v>989</v>
      </c>
      <c r="N1361" s="12">
        <v>115</v>
      </c>
      <c r="O1361" s="15"/>
      <c r="P1361" s="6">
        <v>40534.329282407409</v>
      </c>
      <c r="Q1361" s="11"/>
      <c r="R1361" s="17" t="s">
        <v>3209</v>
      </c>
      <c r="S1361" s="14" t="s">
        <v>3210</v>
      </c>
      <c r="T1361" s="11"/>
      <c r="U1361" s="10" t="str">
        <f>HYPERLINK("https://pbs.twimg.com/profile_images/1055790681514536960/ygcsm8IL.jpg","View")</f>
        <v>View</v>
      </c>
    </row>
    <row r="1362" spans="1:21" ht="40.799999999999997">
      <c r="A1362" s="6">
        <v>43425.976747685185</v>
      </c>
      <c r="B1362" s="7" t="str">
        <f>HYPERLINK("https://twitter.com/el_pais","@el_pais")</f>
        <v>@el_pais</v>
      </c>
      <c r="C1362" s="8" t="s">
        <v>1042</v>
      </c>
      <c r="D1362" s="9" t="s">
        <v>3211</v>
      </c>
      <c r="E1362" s="10" t="str">
        <f>HYPERLINK("https://twitter.com/el_pais/status/1065506796629082113","1065506796629082113")</f>
        <v>1065506796629082113</v>
      </c>
      <c r="F1362" s="14" t="s">
        <v>3212</v>
      </c>
      <c r="G1362" s="11"/>
      <c r="H1362" s="11"/>
      <c r="I1362" s="12">
        <v>50</v>
      </c>
      <c r="J1362" s="12">
        <v>56</v>
      </c>
      <c r="K1362" s="13" t="str">
        <f>HYPERLINK("https://about.twitter.com/products/tweetdeck","TweetDeck")</f>
        <v>TweetDeck</v>
      </c>
      <c r="L1362" s="12">
        <v>6718560</v>
      </c>
      <c r="M1362" s="12">
        <v>777</v>
      </c>
      <c r="N1362" s="12">
        <v>55920</v>
      </c>
      <c r="O1362" s="18" t="s">
        <v>52</v>
      </c>
      <c r="P1362" s="6">
        <v>39300.38899305556</v>
      </c>
      <c r="Q1362" s="16" t="s">
        <v>38</v>
      </c>
      <c r="R1362" s="17" t="s">
        <v>1045</v>
      </c>
      <c r="S1362" s="14" t="s">
        <v>1046</v>
      </c>
      <c r="T1362" s="11"/>
      <c r="U1362" s="10" t="str">
        <f>HYPERLINK("https://pbs.twimg.com/profile_images/815456059322036224/o_RQNEOh.jpg","View")</f>
        <v>View</v>
      </c>
    </row>
    <row r="1363" spans="1:21" ht="20.399999999999999">
      <c r="A1363" s="6">
        <v>43425.975810185184</v>
      </c>
      <c r="B1363" s="7" t="str">
        <f>HYPERLINK("https://twitter.com/GFurlong9","@GFurlong9")</f>
        <v>@GFurlong9</v>
      </c>
      <c r="C1363" s="8" t="s">
        <v>3213</v>
      </c>
      <c r="D1363" s="9" t="s">
        <v>3214</v>
      </c>
      <c r="E1363" s="10" t="str">
        <f>HYPERLINK("https://twitter.com/GFurlong9/status/1065506456684978176","1065506456684978176")</f>
        <v>1065506456684978176</v>
      </c>
      <c r="F1363" s="11"/>
      <c r="G1363" s="14" t="s">
        <v>3215</v>
      </c>
      <c r="H1363" s="11"/>
      <c r="I1363" s="12">
        <v>0</v>
      </c>
      <c r="J1363" s="12">
        <v>2</v>
      </c>
      <c r="K1363" s="13" t="str">
        <f>HYPERLINK("http://twitter.com/download/iphone","Twitter for iPhone")</f>
        <v>Twitter for iPhone</v>
      </c>
      <c r="L1363" s="12">
        <v>351</v>
      </c>
      <c r="M1363" s="12">
        <v>297</v>
      </c>
      <c r="N1363" s="12">
        <v>4</v>
      </c>
      <c r="O1363" s="15"/>
      <c r="P1363" s="6">
        <v>40969.517199074078</v>
      </c>
      <c r="Q1363" s="16" t="s">
        <v>3216</v>
      </c>
      <c r="R1363" s="17" t="s">
        <v>3217</v>
      </c>
      <c r="S1363" s="14" t="s">
        <v>3218</v>
      </c>
      <c r="T1363" s="11"/>
      <c r="U1363" s="10" t="str">
        <f>HYPERLINK("https://pbs.twimg.com/profile_images/1024485028036718592/jVnoaa9y.jpg","View")</f>
        <v>View</v>
      </c>
    </row>
    <row r="1364" spans="1:21" ht="51">
      <c r="A1364" s="6">
        <v>43425.975127314814</v>
      </c>
      <c r="B1364" s="7" t="str">
        <f>HYPERLINK("https://twitter.com/jmaurab","@jmaurab")</f>
        <v>@jmaurab</v>
      </c>
      <c r="C1364" s="8" t="s">
        <v>3219</v>
      </c>
      <c r="D1364" s="9" t="s">
        <v>3220</v>
      </c>
      <c r="E1364" s="10" t="str">
        <f>HYPERLINK("https://twitter.com/jmaurab/status/1065506211481686016","1065506211481686016")</f>
        <v>1065506211481686016</v>
      </c>
      <c r="F1364" s="14" t="s">
        <v>3221</v>
      </c>
      <c r="G1364" s="11"/>
      <c r="H1364" s="11"/>
      <c r="I1364" s="12">
        <v>0</v>
      </c>
      <c r="J1364" s="12">
        <v>0</v>
      </c>
      <c r="K1364" s="13" t="str">
        <f>HYPERLINK("http://twitter.com","Twitter Web Client")</f>
        <v>Twitter Web Client</v>
      </c>
      <c r="L1364" s="12">
        <v>579</v>
      </c>
      <c r="M1364" s="12">
        <v>515</v>
      </c>
      <c r="N1364" s="12">
        <v>10</v>
      </c>
      <c r="O1364" s="15"/>
      <c r="P1364" s="6">
        <v>42125.309594907405</v>
      </c>
      <c r="Q1364" s="16" t="s">
        <v>3222</v>
      </c>
      <c r="R1364" s="17" t="s">
        <v>3223</v>
      </c>
      <c r="S1364" s="11"/>
      <c r="T1364" s="11"/>
      <c r="U1364" s="10" t="str">
        <f>HYPERLINK("https://pbs.twimg.com/profile_images/1006804499154038785/12oUvmE3.jpg","View")</f>
        <v>View</v>
      </c>
    </row>
    <row r="1365" spans="1:21" ht="40.799999999999997">
      <c r="A1365" s="6">
        <v>43425.974340277782</v>
      </c>
      <c r="B1365" s="7" t="str">
        <f>HYPERLINK("https://twitter.com/oguardingo","@oguardingo")</f>
        <v>@oguardingo</v>
      </c>
      <c r="C1365" s="8" t="s">
        <v>3224</v>
      </c>
      <c r="D1365" s="9" t="s">
        <v>3225</v>
      </c>
      <c r="E1365" s="10" t="str">
        <f>HYPERLINK("https://twitter.com/oguardingo/status/1065505924943626241","1065505924943626241")</f>
        <v>1065505924943626241</v>
      </c>
      <c r="F1365" s="14" t="s">
        <v>96</v>
      </c>
      <c r="G1365" s="11"/>
      <c r="H1365" s="11"/>
      <c r="I1365" s="12">
        <v>18</v>
      </c>
      <c r="J1365" s="12">
        <v>13</v>
      </c>
      <c r="K1365" s="13" t="str">
        <f>HYPERLINK("http://twitter.com/download/iphone","Twitter for iPhone")</f>
        <v>Twitter for iPhone</v>
      </c>
      <c r="L1365" s="12">
        <v>5492</v>
      </c>
      <c r="M1365" s="12">
        <v>1293</v>
      </c>
      <c r="N1365" s="12">
        <v>106</v>
      </c>
      <c r="O1365" s="18" t="s">
        <v>52</v>
      </c>
      <c r="P1365" s="6">
        <v>40484.841087962966</v>
      </c>
      <c r="Q1365" s="16" t="s">
        <v>3226</v>
      </c>
      <c r="R1365" s="17" t="s">
        <v>3227</v>
      </c>
      <c r="S1365" s="14" t="s">
        <v>3228</v>
      </c>
      <c r="T1365" s="11"/>
      <c r="U1365" s="10" t="str">
        <f>HYPERLINK("https://pbs.twimg.com/profile_images/988445430060060672/DEF-YPJe.jpg","View")</f>
        <v>View</v>
      </c>
    </row>
    <row r="1366" spans="1:21" ht="81.599999999999994">
      <c r="A1366" s="6">
        <v>43425.974247685182</v>
      </c>
      <c r="B1366" s="7" t="str">
        <f>HYPERLINK("https://twitter.com/LoCyber","@LoCyber")</f>
        <v>@LoCyber</v>
      </c>
      <c r="C1366" s="8" t="s">
        <v>6454</v>
      </c>
      <c r="D1366" s="9" t="s">
        <v>6455</v>
      </c>
      <c r="E1366" s="10" t="str">
        <f>HYPERLINK("https://twitter.com/LoCyber/status/1065505890558709761","1065505890558709761")</f>
        <v>1065505890558709761</v>
      </c>
      <c r="F1366" s="16" t="s">
        <v>6456</v>
      </c>
      <c r="G1366" s="11"/>
      <c r="H1366" s="11"/>
      <c r="I1366" s="12">
        <v>0</v>
      </c>
      <c r="J1366" s="12">
        <v>1</v>
      </c>
      <c r="K1366" s="13" t="str">
        <f t="shared" ref="K1366:K1369" si="282">HYPERLINK("http://twitter.com/download/android","Twitter for Android")</f>
        <v>Twitter for Android</v>
      </c>
      <c r="L1366" s="12">
        <v>736</v>
      </c>
      <c r="M1366" s="12">
        <v>417</v>
      </c>
      <c r="N1366" s="12">
        <v>9</v>
      </c>
      <c r="O1366" s="15"/>
      <c r="P1366" s="6">
        <v>42709.366087962961</v>
      </c>
      <c r="Q1366" s="16" t="s">
        <v>6457</v>
      </c>
      <c r="R1366" s="17" t="s">
        <v>6458</v>
      </c>
      <c r="S1366" s="14" t="s">
        <v>6459</v>
      </c>
      <c r="T1366" s="11"/>
      <c r="U1366" s="10" t="str">
        <f>HYPERLINK("https://pbs.twimg.com/profile_images/980892286644047874/-YKZaS53.jpg","View")</f>
        <v>View</v>
      </c>
    </row>
    <row r="1367" spans="1:21" ht="20.399999999999999">
      <c r="A1367" s="6">
        <v>43425.973113425927</v>
      </c>
      <c r="B1367" s="7" t="str">
        <f>HYPERLINK("https://twitter.com/xngelfurler","@xngelfurler")</f>
        <v>@xngelfurler</v>
      </c>
      <c r="C1367" s="8" t="s">
        <v>6460</v>
      </c>
      <c r="D1367" s="9" t="s">
        <v>6461</v>
      </c>
      <c r="E1367" s="10" t="str">
        <f>HYPERLINK("https://twitter.com/xngelfurler/status/1065505480087343107","1065505480087343107")</f>
        <v>1065505480087343107</v>
      </c>
      <c r="F1367" s="11"/>
      <c r="G1367" s="14" t="s">
        <v>6462</v>
      </c>
      <c r="H1367" s="11"/>
      <c r="I1367" s="12">
        <v>0</v>
      </c>
      <c r="J1367" s="12">
        <v>2</v>
      </c>
      <c r="K1367" s="13" t="str">
        <f t="shared" si="282"/>
        <v>Twitter for Android</v>
      </c>
      <c r="L1367" s="12">
        <v>1097</v>
      </c>
      <c r="M1367" s="12">
        <v>1347</v>
      </c>
      <c r="N1367" s="12">
        <v>34</v>
      </c>
      <c r="O1367" s="15"/>
      <c r="P1367" s="6">
        <v>41204.292673611111</v>
      </c>
      <c r="Q1367" s="16" t="s">
        <v>1950</v>
      </c>
      <c r="R1367" s="17" t="s">
        <v>6463</v>
      </c>
      <c r="S1367" s="14" t="s">
        <v>6464</v>
      </c>
      <c r="T1367" s="11"/>
      <c r="U1367" s="10" t="str">
        <f>HYPERLINK("https://pbs.twimg.com/profile_images/1054430125524160515/gwv-fQ_O.jpg","View")</f>
        <v>View</v>
      </c>
    </row>
    <row r="1368" spans="1:21" ht="20.399999999999999">
      <c r="A1368" s="6">
        <v>43425.972534722227</v>
      </c>
      <c r="B1368" s="7" t="str">
        <f>HYPERLINK("https://twitter.com/PasaAhora","@PasaAhora")</f>
        <v>@PasaAhora</v>
      </c>
      <c r="C1368" s="8" t="s">
        <v>6465</v>
      </c>
      <c r="D1368" s="9" t="s">
        <v>2895</v>
      </c>
      <c r="E1368" s="10" t="str">
        <f>HYPERLINK("https://twitter.com/PasaAhora/status/1065505270913212416","1065505270913212416")</f>
        <v>1065505270913212416</v>
      </c>
      <c r="F1368" s="14" t="s">
        <v>529</v>
      </c>
      <c r="G1368" s="11"/>
      <c r="H1368" s="11"/>
      <c r="I1368" s="12">
        <v>0</v>
      </c>
      <c r="J1368" s="12">
        <v>0</v>
      </c>
      <c r="K1368" s="13" t="str">
        <f t="shared" si="282"/>
        <v>Twitter for Android</v>
      </c>
      <c r="L1368" s="12">
        <v>140</v>
      </c>
      <c r="M1368" s="12">
        <v>63</v>
      </c>
      <c r="N1368" s="12">
        <v>5</v>
      </c>
      <c r="O1368" s="15"/>
      <c r="P1368" s="6">
        <v>41145.40788194444</v>
      </c>
      <c r="Q1368" s="11"/>
      <c r="R1368" s="17" t="s">
        <v>6466</v>
      </c>
      <c r="S1368" s="11"/>
      <c r="T1368" s="11"/>
      <c r="U1368" s="10" t="str">
        <f>HYPERLINK("https://pbs.twimg.com/profile_images/425393842548768768/JzLFUpgM.jpeg","View")</f>
        <v>View</v>
      </c>
    </row>
    <row r="1369" spans="1:21" ht="20.399999999999999">
      <c r="A1369" s="6">
        <v>43425.971990740742</v>
      </c>
      <c r="B1369" s="7" t="str">
        <f>HYPERLINK("https://twitter.com/cacristan","@cacristan")</f>
        <v>@cacristan</v>
      </c>
      <c r="C1369" s="8" t="s">
        <v>6467</v>
      </c>
      <c r="D1369" s="9" t="s">
        <v>6468</v>
      </c>
      <c r="E1369" s="10" t="str">
        <f>HYPERLINK("https://twitter.com/cacristan/status/1065505072908505088","1065505072908505088")</f>
        <v>1065505072908505088</v>
      </c>
      <c r="F1369" s="16" t="s">
        <v>6469</v>
      </c>
      <c r="G1369" s="11"/>
      <c r="H1369" s="11"/>
      <c r="I1369" s="12">
        <v>2</v>
      </c>
      <c r="J1369" s="12">
        <v>3</v>
      </c>
      <c r="K1369" s="13" t="str">
        <f t="shared" si="282"/>
        <v>Twitter for Android</v>
      </c>
      <c r="L1369" s="12">
        <v>228</v>
      </c>
      <c r="M1369" s="12">
        <v>770</v>
      </c>
      <c r="N1369" s="12">
        <v>3</v>
      </c>
      <c r="O1369" s="15"/>
      <c r="P1369" s="6">
        <v>40386.086319444446</v>
      </c>
      <c r="Q1369" s="11"/>
      <c r="R1369" s="17" t="s">
        <v>6470</v>
      </c>
      <c r="S1369" s="11"/>
      <c r="T1369" s="11"/>
      <c r="U1369" s="10" t="str">
        <f>HYPERLINK("https://pbs.twimg.com/profile_images/3714558283/d768c0a423567644089511de6bf618d3.jpeg","View")</f>
        <v>View</v>
      </c>
    </row>
    <row r="1370" spans="1:21" ht="40.799999999999997">
      <c r="A1370" s="6">
        <v>43425.97184027778</v>
      </c>
      <c r="B1370" s="7" t="str">
        <f>HYPERLINK("https://twitter.com/AdeSiracusa","@AdeSiracusa")</f>
        <v>@AdeSiracusa</v>
      </c>
      <c r="C1370" s="8" t="s">
        <v>3890</v>
      </c>
      <c r="D1370" s="9" t="s">
        <v>6471</v>
      </c>
      <c r="E1370" s="10" t="str">
        <f>HYPERLINK("https://twitter.com/AdeSiracusa/status/1065505018885955584","1065505018885955584")</f>
        <v>1065505018885955584</v>
      </c>
      <c r="F1370" s="14" t="s">
        <v>6472</v>
      </c>
      <c r="G1370" s="11"/>
      <c r="H1370" s="11"/>
      <c r="I1370" s="12">
        <v>0</v>
      </c>
      <c r="J1370" s="12">
        <v>0</v>
      </c>
      <c r="K1370" s="13" t="str">
        <f>HYPERLINK("http://www.republicosvenezuela.com/","AdeSiracusa")</f>
        <v>AdeSiracusa</v>
      </c>
      <c r="L1370" s="12">
        <v>3920</v>
      </c>
      <c r="M1370" s="12">
        <v>3927</v>
      </c>
      <c r="N1370" s="12">
        <v>12</v>
      </c>
      <c r="O1370" s="15"/>
      <c r="P1370" s="6">
        <v>42958.201388888891</v>
      </c>
      <c r="Q1370" s="16" t="s">
        <v>3893</v>
      </c>
      <c r="R1370" s="17" t="s">
        <v>3894</v>
      </c>
      <c r="S1370" s="11"/>
      <c r="T1370" s="11"/>
      <c r="U1370" s="10" t="str">
        <f>HYPERLINK("https://pbs.twimg.com/profile_images/895978354591105024/x2wNXrPl.jpg","View")</f>
        <v>View</v>
      </c>
    </row>
    <row r="1371" spans="1:21" ht="20.399999999999999">
      <c r="A1371" s="6">
        <v>43425.970324074078</v>
      </c>
      <c r="B1371" s="7" t="str">
        <f>HYPERLINK("https://twitter.com/CassanyesXavier","@CassanyesXavier")</f>
        <v>@CassanyesXavier</v>
      </c>
      <c r="C1371" s="8" t="s">
        <v>6473</v>
      </c>
      <c r="D1371" s="9" t="s">
        <v>768</v>
      </c>
      <c r="E1371" s="10" t="str">
        <f>HYPERLINK("https://twitter.com/CassanyesXavier/status/1065504472305160194","1065504472305160194")</f>
        <v>1065504472305160194</v>
      </c>
      <c r="F1371" s="14" t="s">
        <v>529</v>
      </c>
      <c r="G1371" s="11"/>
      <c r="H1371" s="11"/>
      <c r="I1371" s="12">
        <v>0</v>
      </c>
      <c r="J1371" s="12">
        <v>0</v>
      </c>
      <c r="K1371" s="13" t="str">
        <f>HYPERLINK("http://twitter.com/download/android","Twitter for Android")</f>
        <v>Twitter for Android</v>
      </c>
      <c r="L1371" s="12">
        <v>186</v>
      </c>
      <c r="M1371" s="12">
        <v>237</v>
      </c>
      <c r="N1371" s="12">
        <v>2</v>
      </c>
      <c r="O1371" s="15"/>
      <c r="P1371" s="6">
        <v>40662.085752314815</v>
      </c>
      <c r="Q1371" s="16" t="s">
        <v>6474</v>
      </c>
      <c r="R1371" s="17" t="s">
        <v>6475</v>
      </c>
      <c r="S1371" s="14" t="s">
        <v>6476</v>
      </c>
      <c r="T1371" s="11"/>
      <c r="U1371" s="10" t="str">
        <f>HYPERLINK("https://pbs.twimg.com/profile_images/617573886989848576/_v3vKe9R.jpg","View")</f>
        <v>View</v>
      </c>
    </row>
    <row r="1372" spans="1:21" ht="51">
      <c r="A1372" s="6">
        <v>43425.969976851848</v>
      </c>
      <c r="B1372" s="7" t="str">
        <f>HYPERLINK("https://twitter.com/PropheticSpiri","@PropheticSpiri")</f>
        <v>@PropheticSpiri</v>
      </c>
      <c r="C1372" s="8" t="s">
        <v>6477</v>
      </c>
      <c r="D1372" s="9" t="s">
        <v>6478</v>
      </c>
      <c r="E1372" s="10" t="str">
        <f>HYPERLINK("https://twitter.com/PropheticSpiri/status/1065504343867170816","1065504343867170816")</f>
        <v>1065504343867170816</v>
      </c>
      <c r="F1372" s="11"/>
      <c r="G1372" s="14" t="s">
        <v>6479</v>
      </c>
      <c r="H1372" s="11"/>
      <c r="I1372" s="12">
        <v>0</v>
      </c>
      <c r="J1372" s="12">
        <v>0</v>
      </c>
      <c r="K1372" s="13" t="str">
        <f t="shared" ref="K1372:K1376" si="283">HYPERLINK("http://twitter.com","Twitter Web Client")</f>
        <v>Twitter Web Client</v>
      </c>
      <c r="L1372" s="12">
        <v>4421</v>
      </c>
      <c r="M1372" s="12">
        <v>3953</v>
      </c>
      <c r="N1372" s="12">
        <v>14</v>
      </c>
      <c r="O1372" s="15"/>
      <c r="P1372" s="6">
        <v>40158.193611111114</v>
      </c>
      <c r="Q1372" s="16" t="s">
        <v>6480</v>
      </c>
      <c r="R1372" s="17" t="s">
        <v>6481</v>
      </c>
      <c r="S1372" s="11"/>
      <c r="T1372" s="11"/>
      <c r="U1372" s="10" t="str">
        <f>HYPERLINK("https://pbs.twimg.com/profile_images/1061724752539205633/n7zdAxXu.jpg","View")</f>
        <v>View</v>
      </c>
    </row>
    <row r="1373" spans="1:21" ht="40.799999999999997">
      <c r="A1373" s="6">
        <v>43425.969930555555</v>
      </c>
      <c r="B1373" s="7" t="str">
        <f>HYPERLINK("https://twitter.com/TorreJuliodela","@TorreJuliodela")</f>
        <v>@TorreJuliodela</v>
      </c>
      <c r="C1373" s="8" t="s">
        <v>3231</v>
      </c>
      <c r="D1373" s="9" t="s">
        <v>3232</v>
      </c>
      <c r="E1373" s="10" t="str">
        <f>HYPERLINK("https://twitter.com/TorreJuliodela/status/1065504327295475712","1065504327295475712")</f>
        <v>1065504327295475712</v>
      </c>
      <c r="F1373" s="11"/>
      <c r="G1373" s="11"/>
      <c r="H1373" s="11"/>
      <c r="I1373" s="12">
        <v>0</v>
      </c>
      <c r="J1373" s="12">
        <v>0</v>
      </c>
      <c r="K1373" s="13" t="str">
        <f t="shared" si="283"/>
        <v>Twitter Web Client</v>
      </c>
      <c r="L1373" s="12">
        <v>187</v>
      </c>
      <c r="M1373" s="12">
        <v>514</v>
      </c>
      <c r="N1373" s="12">
        <v>0</v>
      </c>
      <c r="O1373" s="15"/>
      <c r="P1373" s="6">
        <v>41570.019594907411</v>
      </c>
      <c r="Q1373" s="16" t="s">
        <v>3235</v>
      </c>
      <c r="R1373" s="17" t="s">
        <v>3236</v>
      </c>
      <c r="S1373" s="14" t="s">
        <v>3237</v>
      </c>
      <c r="T1373" s="11"/>
      <c r="U1373" s="10" t="str">
        <f>HYPERLINK("https://pbs.twimg.com/profile_images/1017727915625197568/PrenrpdE.jpg","View")</f>
        <v>View</v>
      </c>
    </row>
    <row r="1374" spans="1:21" ht="51">
      <c r="A1374" s="6">
        <v>43425.969826388886</v>
      </c>
      <c r="B1374" s="7" t="str">
        <f>HYPERLINK("https://twitter.com/Pablo_Iglesias_","@Pablo_Iglesias_")</f>
        <v>@Pablo_Iglesias_</v>
      </c>
      <c r="C1374" s="8" t="s">
        <v>383</v>
      </c>
      <c r="D1374" s="9" t="s">
        <v>6482</v>
      </c>
      <c r="E1374" s="10" t="str">
        <f>HYPERLINK("https://twitter.com/Pablo_Iglesias_/status/1065504288393306112","1065504288393306112")</f>
        <v>1065504288393306112</v>
      </c>
      <c r="F1374" s="14" t="s">
        <v>96</v>
      </c>
      <c r="G1374" s="14" t="s">
        <v>1431</v>
      </c>
      <c r="H1374" s="11"/>
      <c r="I1374" s="12">
        <v>1391</v>
      </c>
      <c r="J1374" s="12">
        <v>2721</v>
      </c>
      <c r="K1374" s="13" t="str">
        <f t="shared" si="283"/>
        <v>Twitter Web Client</v>
      </c>
      <c r="L1374" s="12">
        <v>2240182</v>
      </c>
      <c r="M1374" s="12">
        <v>2735</v>
      </c>
      <c r="N1374" s="12">
        <v>8469</v>
      </c>
      <c r="O1374" s="18" t="s">
        <v>52</v>
      </c>
      <c r="P1374" s="6">
        <v>40351.200300925928</v>
      </c>
      <c r="Q1374" s="16" t="s">
        <v>38</v>
      </c>
      <c r="R1374" s="17" t="s">
        <v>389</v>
      </c>
      <c r="S1374" s="14" t="s">
        <v>58</v>
      </c>
      <c r="T1374" s="11"/>
      <c r="U1374" s="10" t="str">
        <f>HYPERLINK("https://pbs.twimg.com/profile_images/902223370569338884/dL2D2A5P.jpg","View")</f>
        <v>View</v>
      </c>
    </row>
    <row r="1375" spans="1:21" ht="51">
      <c r="A1375" s="6">
        <v>43425.967858796299</v>
      </c>
      <c r="B1375" s="7" t="str">
        <f>HYPERLINK("https://twitter.com/PropheticSpiri","@PropheticSpiri")</f>
        <v>@PropheticSpiri</v>
      </c>
      <c r="C1375" s="8" t="s">
        <v>6477</v>
      </c>
      <c r="D1375" s="9" t="s">
        <v>6483</v>
      </c>
      <c r="E1375" s="10" t="str">
        <f>HYPERLINK("https://twitter.com/PropheticSpiri/status/1065503575416193024","1065503575416193024")</f>
        <v>1065503575416193024</v>
      </c>
      <c r="F1375" s="11"/>
      <c r="G1375" s="11"/>
      <c r="H1375" s="11"/>
      <c r="I1375" s="12">
        <v>0</v>
      </c>
      <c r="J1375" s="12">
        <v>0</v>
      </c>
      <c r="K1375" s="13" t="str">
        <f t="shared" si="283"/>
        <v>Twitter Web Client</v>
      </c>
      <c r="L1375" s="12">
        <v>4421</v>
      </c>
      <c r="M1375" s="12">
        <v>3953</v>
      </c>
      <c r="N1375" s="12">
        <v>14</v>
      </c>
      <c r="O1375" s="15"/>
      <c r="P1375" s="6">
        <v>40158.193611111114</v>
      </c>
      <c r="Q1375" s="16" t="s">
        <v>6480</v>
      </c>
      <c r="R1375" s="17" t="s">
        <v>6481</v>
      </c>
      <c r="S1375" s="11"/>
      <c r="T1375" s="11"/>
      <c r="U1375" s="10" t="str">
        <f>HYPERLINK("https://pbs.twimg.com/profile_images/1061724752539205633/n7zdAxXu.jpg","View")</f>
        <v>View</v>
      </c>
    </row>
    <row r="1376" spans="1:21" ht="30.6">
      <c r="A1376" s="6">
        <v>43425.966354166667</v>
      </c>
      <c r="B1376" s="7" t="str">
        <f>HYPERLINK("https://twitter.com/blanco_dona","@blanco_dona")</f>
        <v>@blanco_dona</v>
      </c>
      <c r="C1376" s="8" t="s">
        <v>3238</v>
      </c>
      <c r="D1376" s="9" t="s">
        <v>3239</v>
      </c>
      <c r="E1376" s="10" t="str">
        <f>HYPERLINK("https://twitter.com/blanco_dona/status/1065503030823534592","1065503030823534592")</f>
        <v>1065503030823534592</v>
      </c>
      <c r="F1376" s="14" t="s">
        <v>529</v>
      </c>
      <c r="G1376" s="11"/>
      <c r="H1376" s="11"/>
      <c r="I1376" s="12">
        <v>24</v>
      </c>
      <c r="J1376" s="12">
        <v>16</v>
      </c>
      <c r="K1376" s="13" t="str">
        <f t="shared" si="283"/>
        <v>Twitter Web Client</v>
      </c>
      <c r="L1376" s="12">
        <v>5276</v>
      </c>
      <c r="M1376" s="12">
        <v>4996</v>
      </c>
      <c r="N1376" s="12">
        <v>35</v>
      </c>
      <c r="O1376" s="15"/>
      <c r="P1376" s="6">
        <v>42273.296157407407</v>
      </c>
      <c r="Q1376" s="16" t="s">
        <v>3242</v>
      </c>
      <c r="R1376" s="19"/>
      <c r="S1376" s="11"/>
      <c r="T1376" s="11"/>
      <c r="U1376" s="10" t="str">
        <f>HYPERLINK("https://pbs.twimg.com/profile_images/851360841945432065/TaBXX1Qz.jpg","View")</f>
        <v>View</v>
      </c>
    </row>
    <row r="1377" spans="1:21" ht="40.799999999999997">
      <c r="A1377" s="6">
        <v>43425.966157407413</v>
      </c>
      <c r="B1377" s="7" t="str">
        <f>HYPERLINK("https://twitter.com/BarriPdmx","@BarriPdmx")</f>
        <v>@BarriPdmx</v>
      </c>
      <c r="C1377" s="8" t="s">
        <v>3243</v>
      </c>
      <c r="D1377" s="9" t="s">
        <v>3244</v>
      </c>
      <c r="E1377" s="10" t="str">
        <f>HYPERLINK("https://twitter.com/BarriPdmx/status/1065502960195682304","1065502960195682304")</f>
        <v>1065502960195682304</v>
      </c>
      <c r="F1377" s="14" t="s">
        <v>96</v>
      </c>
      <c r="G1377" s="11"/>
      <c r="H1377" s="11"/>
      <c r="I1377" s="12">
        <v>4</v>
      </c>
      <c r="J1377" s="12">
        <v>2</v>
      </c>
      <c r="K1377" s="13" t="str">
        <f>HYPERLINK("http://twitter.com/download/android","Twitter for Android")</f>
        <v>Twitter for Android</v>
      </c>
      <c r="L1377" s="12">
        <v>8165</v>
      </c>
      <c r="M1377" s="12">
        <v>3987</v>
      </c>
      <c r="N1377" s="12">
        <v>88</v>
      </c>
      <c r="O1377" s="18" t="s">
        <v>52</v>
      </c>
      <c r="P1377" s="6">
        <v>41958.600428240738</v>
      </c>
      <c r="Q1377" s="16" t="s">
        <v>3246</v>
      </c>
      <c r="R1377" s="17" t="s">
        <v>3247</v>
      </c>
      <c r="S1377" s="14" t="s">
        <v>3249</v>
      </c>
      <c r="T1377" s="11"/>
      <c r="U1377" s="10" t="str">
        <f>HYPERLINK("https://pbs.twimg.com/profile_images/878505918530551808/6_fJlZh1.jpg","View")</f>
        <v>View</v>
      </c>
    </row>
    <row r="1378" spans="1:21" ht="51">
      <c r="A1378" s="6">
        <v>43425.965960648144</v>
      </c>
      <c r="B1378" s="7" t="str">
        <f>HYPERLINK("https://twitter.com/PropheticSpiri","@PropheticSpiri")</f>
        <v>@PropheticSpiri</v>
      </c>
      <c r="C1378" s="8" t="s">
        <v>6477</v>
      </c>
      <c r="D1378" s="9" t="s">
        <v>6484</v>
      </c>
      <c r="E1378" s="10" t="str">
        <f>HYPERLINK("https://twitter.com/PropheticSpiri/status/1065502890578636800","1065502890578636800")</f>
        <v>1065502890578636800</v>
      </c>
      <c r="F1378" s="11"/>
      <c r="G1378" s="11"/>
      <c r="H1378" s="11"/>
      <c r="I1378" s="12">
        <v>0</v>
      </c>
      <c r="J1378" s="12">
        <v>0</v>
      </c>
      <c r="K1378" s="13" t="str">
        <f t="shared" ref="K1378:K1379" si="284">HYPERLINK("http://twitter.com","Twitter Web Client")</f>
        <v>Twitter Web Client</v>
      </c>
      <c r="L1378" s="12">
        <v>4421</v>
      </c>
      <c r="M1378" s="12">
        <v>3953</v>
      </c>
      <c r="N1378" s="12">
        <v>14</v>
      </c>
      <c r="O1378" s="15"/>
      <c r="P1378" s="6">
        <v>40158.193611111114</v>
      </c>
      <c r="Q1378" s="16" t="s">
        <v>6480</v>
      </c>
      <c r="R1378" s="17" t="s">
        <v>6481</v>
      </c>
      <c r="S1378" s="11"/>
      <c r="T1378" s="11"/>
      <c r="U1378" s="10" t="str">
        <f>HYPERLINK("https://pbs.twimg.com/profile_images/1061724752539205633/n7zdAxXu.jpg","View")</f>
        <v>View</v>
      </c>
    </row>
    <row r="1379" spans="1:21" ht="20.399999999999999">
      <c r="A1379" s="6">
        <v>43425.965798611112</v>
      </c>
      <c r="B1379" s="7" t="str">
        <f>HYPERLINK("https://twitter.com/Conquinceletras","@Conquinceletras")</f>
        <v>@Conquinceletras</v>
      </c>
      <c r="C1379" s="8" t="s">
        <v>3252</v>
      </c>
      <c r="D1379" s="9" t="s">
        <v>3253</v>
      </c>
      <c r="E1379" s="10" t="str">
        <f>HYPERLINK("https://twitter.com/Conquinceletras/status/1065502830079983616","1065502830079983616")</f>
        <v>1065502830079983616</v>
      </c>
      <c r="F1379" s="14" t="s">
        <v>96</v>
      </c>
      <c r="G1379" s="11"/>
      <c r="H1379" s="11"/>
      <c r="I1379" s="12">
        <v>0</v>
      </c>
      <c r="J1379" s="12">
        <v>0</v>
      </c>
      <c r="K1379" s="13" t="str">
        <f t="shared" si="284"/>
        <v>Twitter Web Client</v>
      </c>
      <c r="L1379" s="12">
        <v>2237</v>
      </c>
      <c r="M1379" s="12">
        <v>73</v>
      </c>
      <c r="N1379" s="12">
        <v>83</v>
      </c>
      <c r="O1379" s="15"/>
      <c r="P1379" s="6">
        <v>40281.505995370375</v>
      </c>
      <c r="Q1379" s="11"/>
      <c r="R1379" s="17" t="s">
        <v>3256</v>
      </c>
      <c r="S1379" s="11"/>
      <c r="T1379" s="11"/>
      <c r="U1379" s="10" t="str">
        <f>HYPERLINK("https://pbs.twimg.com/profile_images/947893882825707520/6LujNExm.jpg","View")</f>
        <v>View</v>
      </c>
    </row>
    <row r="1380" spans="1:21" ht="20.399999999999999">
      <c r="A1380" s="6">
        <v>43425.964907407411</v>
      </c>
      <c r="B1380" s="7" t="str">
        <f>HYPERLINK("https://twitter.com/rj24121966","@rj24121966")</f>
        <v>@rj24121966</v>
      </c>
      <c r="C1380" s="8" t="s">
        <v>4597</v>
      </c>
      <c r="D1380" s="9" t="s">
        <v>6486</v>
      </c>
      <c r="E1380" s="10" t="str">
        <f>HYPERLINK("https://twitter.com/rj24121966/status/1065502506170621952","1065502506170621952")</f>
        <v>1065502506170621952</v>
      </c>
      <c r="F1380" s="14" t="s">
        <v>96</v>
      </c>
      <c r="G1380" s="11"/>
      <c r="H1380" s="11"/>
      <c r="I1380" s="12">
        <v>0</v>
      </c>
      <c r="J1380" s="12">
        <v>0</v>
      </c>
      <c r="K1380" s="13" t="str">
        <f>HYPERLINK("http://twitter.com/#!/download/ipad","Twitter for iPad")</f>
        <v>Twitter for iPad</v>
      </c>
      <c r="L1380" s="12">
        <v>91</v>
      </c>
      <c r="M1380" s="12">
        <v>313</v>
      </c>
      <c r="N1380" s="12">
        <v>4</v>
      </c>
      <c r="O1380" s="15"/>
      <c r="P1380" s="6">
        <v>42643.335393518515</v>
      </c>
      <c r="Q1380" s="11"/>
      <c r="R1380" s="19"/>
      <c r="S1380" s="11"/>
      <c r="T1380" s="11"/>
      <c r="U1380" s="10" t="str">
        <f>HYPERLINK("https://pbs.twimg.com/profile_images/1007845535628365825/Kks0sl9G.jpg","View")</f>
        <v>View</v>
      </c>
    </row>
    <row r="1381" spans="1:21" ht="30.6">
      <c r="A1381" s="6">
        <v>43425.96393518518</v>
      </c>
      <c r="B1381" s="7" t="str">
        <f>HYPERLINK("https://twitter.com/Analytical","@Analytical")</f>
        <v>@Analytical</v>
      </c>
      <c r="C1381" s="8" t="s">
        <v>6487</v>
      </c>
      <c r="D1381" s="9" t="s">
        <v>6488</v>
      </c>
      <c r="E1381" s="10" t="str">
        <f>HYPERLINK("https://twitter.com/Analytical/status/1065502153698172929","1065502153698172929")</f>
        <v>1065502153698172929</v>
      </c>
      <c r="F1381" s="14" t="s">
        <v>529</v>
      </c>
      <c r="G1381" s="11"/>
      <c r="H1381" s="11"/>
      <c r="I1381" s="12">
        <v>0</v>
      </c>
      <c r="J1381" s="12">
        <v>1</v>
      </c>
      <c r="K1381" s="13" t="str">
        <f t="shared" ref="K1381:K1383" si="285">HYPERLINK("http://twitter.com","Twitter Web Client")</f>
        <v>Twitter Web Client</v>
      </c>
      <c r="L1381" s="12">
        <v>211</v>
      </c>
      <c r="M1381" s="12">
        <v>407</v>
      </c>
      <c r="N1381" s="12">
        <v>3</v>
      </c>
      <c r="O1381" s="15"/>
      <c r="P1381" s="6">
        <v>39688.334351851852</v>
      </c>
      <c r="Q1381" s="16" t="s">
        <v>1518</v>
      </c>
      <c r="R1381" s="19"/>
      <c r="S1381" s="14" t="s">
        <v>6489</v>
      </c>
      <c r="T1381" s="11"/>
      <c r="U1381" s="10" t="str">
        <f>HYPERLINK("https://pbs.twimg.com/profile_images/1321460076/IMG00014-20110412-1130.jpg","View")</f>
        <v>View</v>
      </c>
    </row>
    <row r="1382" spans="1:21" ht="51">
      <c r="A1382" s="6">
        <v>43425.963379629626</v>
      </c>
      <c r="B1382" s="7" t="str">
        <f>HYPERLINK("https://twitter.com/PropheticSpiri","@PropheticSpiri")</f>
        <v>@PropheticSpiri</v>
      </c>
      <c r="C1382" s="8" t="s">
        <v>6477</v>
      </c>
      <c r="D1382" s="9" t="s">
        <v>6490</v>
      </c>
      <c r="E1382" s="10" t="str">
        <f>HYPERLINK("https://twitter.com/PropheticSpiri/status/1065501955185917952","1065501955185917952")</f>
        <v>1065501955185917952</v>
      </c>
      <c r="F1382" s="11"/>
      <c r="G1382" s="11"/>
      <c r="H1382" s="11"/>
      <c r="I1382" s="12">
        <v>0</v>
      </c>
      <c r="J1382" s="12">
        <v>0</v>
      </c>
      <c r="K1382" s="13" t="str">
        <f t="shared" si="285"/>
        <v>Twitter Web Client</v>
      </c>
      <c r="L1382" s="12">
        <v>4421</v>
      </c>
      <c r="M1382" s="12">
        <v>3953</v>
      </c>
      <c r="N1382" s="12">
        <v>14</v>
      </c>
      <c r="O1382" s="15"/>
      <c r="P1382" s="6">
        <v>40158.193611111114</v>
      </c>
      <c r="Q1382" s="16" t="s">
        <v>6480</v>
      </c>
      <c r="R1382" s="17" t="s">
        <v>6481</v>
      </c>
      <c r="S1382" s="11"/>
      <c r="T1382" s="11"/>
      <c r="U1382" s="10" t="str">
        <f>HYPERLINK("https://pbs.twimg.com/profile_images/1061724752539205633/n7zdAxXu.jpg","View")</f>
        <v>View</v>
      </c>
    </row>
    <row r="1383" spans="1:21" ht="20.399999999999999">
      <c r="A1383" s="6">
        <v>43425.963321759264</v>
      </c>
      <c r="B1383" s="7" t="str">
        <f>HYPERLINK("https://twitter.com/Karmentxumarin","@Karmentxumarin")</f>
        <v>@Karmentxumarin</v>
      </c>
      <c r="C1383" s="8" t="s">
        <v>6491</v>
      </c>
      <c r="D1383" s="9" t="s">
        <v>768</v>
      </c>
      <c r="E1383" s="10" t="str">
        <f>HYPERLINK("https://twitter.com/Karmentxumarin/status/1065501932121407493","1065501932121407493")</f>
        <v>1065501932121407493</v>
      </c>
      <c r="F1383" s="14" t="s">
        <v>529</v>
      </c>
      <c r="G1383" s="11"/>
      <c r="H1383" s="11"/>
      <c r="I1383" s="12">
        <v>1</v>
      </c>
      <c r="J1383" s="12">
        <v>0</v>
      </c>
      <c r="K1383" s="13" t="str">
        <f t="shared" si="285"/>
        <v>Twitter Web Client</v>
      </c>
      <c r="L1383" s="12">
        <v>5409</v>
      </c>
      <c r="M1383" s="12">
        <v>1116</v>
      </c>
      <c r="N1383" s="12">
        <v>147</v>
      </c>
      <c r="O1383" s="15"/>
      <c r="P1383" s="6">
        <v>41200.419085648144</v>
      </c>
      <c r="Q1383" s="11"/>
      <c r="R1383" s="17" t="s">
        <v>6492</v>
      </c>
      <c r="S1383" s="11"/>
      <c r="T1383" s="11"/>
      <c r="U1383" s="10" t="str">
        <f>HYPERLINK("https://pbs.twimg.com/profile_images/2733804740/0186c4fafd64a9560e92b3718ca2ea3f.jpeg","View")</f>
        <v>View</v>
      </c>
    </row>
    <row r="1384" spans="1:21" ht="51">
      <c r="A1384" s="6">
        <v>43425.963078703702</v>
      </c>
      <c r="B1384" s="7" t="str">
        <f>HYPERLINK("https://twitter.com/trendinaliaES","@trendinaliaES")</f>
        <v>@trendinaliaES</v>
      </c>
      <c r="C1384" s="8" t="s">
        <v>1016</v>
      </c>
      <c r="D1384" s="9" t="s">
        <v>3257</v>
      </c>
      <c r="E1384" s="10" t="str">
        <f>HYPERLINK("https://twitter.com/trendinaliaES/status/1065501845471121409","1065501845471121409")</f>
        <v>1065501845471121409</v>
      </c>
      <c r="F1384" s="14" t="s">
        <v>3258</v>
      </c>
      <c r="G1384" s="11"/>
      <c r="H1384" s="11" t="str">
        <f>HYPERLINK("https://ctrlq.org/maps/address/#40.4203,-3.7058","Map")</f>
        <v>Map</v>
      </c>
      <c r="I1384" s="12">
        <v>0</v>
      </c>
      <c r="J1384" s="12">
        <v>0</v>
      </c>
      <c r="K1384" s="13" t="str">
        <f>HYPERLINK("http://laconversa.com","Es Tendencia en España")</f>
        <v>Es Tendencia en España</v>
      </c>
      <c r="L1384" s="12">
        <v>49141</v>
      </c>
      <c r="M1384" s="12">
        <v>37</v>
      </c>
      <c r="N1384" s="12">
        <v>723</v>
      </c>
      <c r="O1384" s="18" t="s">
        <v>52</v>
      </c>
      <c r="P1384" s="6">
        <v>41319.444074074076</v>
      </c>
      <c r="Q1384" s="16" t="s">
        <v>28</v>
      </c>
      <c r="R1384" s="17" t="s">
        <v>1019</v>
      </c>
      <c r="S1384" s="14" t="s">
        <v>1020</v>
      </c>
      <c r="T1384" s="11"/>
      <c r="U1384" s="10" t="str">
        <f>HYPERLINK("https://pbs.twimg.com/profile_images/696485210821632000/xpdMQ_mE.png","View")</f>
        <v>View</v>
      </c>
    </row>
    <row r="1385" spans="1:21" ht="51">
      <c r="A1385" s="6">
        <v>43425.962893518517</v>
      </c>
      <c r="B1385" s="7" t="str">
        <f>HYPERLINK("https://twitter.com/hermanntertsch","@hermanntertsch")</f>
        <v>@hermanntertsch</v>
      </c>
      <c r="C1385" s="8" t="s">
        <v>2557</v>
      </c>
      <c r="D1385" s="9" t="s">
        <v>707</v>
      </c>
      <c r="E1385" s="10" t="str">
        <f>HYPERLINK("https://twitter.com/hermanntertsch/status/1065501778270191617","1065501778270191617")</f>
        <v>1065501778270191617</v>
      </c>
      <c r="F1385" s="11"/>
      <c r="G1385" s="11"/>
      <c r="H1385" s="11"/>
      <c r="I1385" s="12">
        <v>1363</v>
      </c>
      <c r="J1385" s="12">
        <v>2633</v>
      </c>
      <c r="K1385" s="13" t="str">
        <f>HYPERLINK("http://twitter.com","Twitter Web Client")</f>
        <v>Twitter Web Client</v>
      </c>
      <c r="L1385" s="12">
        <v>126741</v>
      </c>
      <c r="M1385" s="12">
        <v>3124</v>
      </c>
      <c r="N1385" s="12">
        <v>2134</v>
      </c>
      <c r="O1385" s="15"/>
      <c r="P1385" s="6">
        <v>40598.90452546296</v>
      </c>
      <c r="Q1385" s="11"/>
      <c r="R1385" s="17" t="s">
        <v>2561</v>
      </c>
      <c r="S1385" s="11"/>
      <c r="T1385" s="11"/>
      <c r="U1385" s="10" t="str">
        <f>HYPERLINK("https://pbs.twimg.com/profile_images/857488336243576833/VZ0sdsQO.jpg","View")</f>
        <v>View</v>
      </c>
    </row>
    <row r="1386" spans="1:21" ht="40.799999999999997">
      <c r="A1386" s="6">
        <v>43425.962800925925</v>
      </c>
      <c r="B1386" s="7" t="str">
        <f>HYPERLINK("https://twitter.com/ahorapodemos","@ahorapodemos")</f>
        <v>@ahorapodemos</v>
      </c>
      <c r="C1386" s="8" t="s">
        <v>48</v>
      </c>
      <c r="D1386" s="9" t="s">
        <v>3225</v>
      </c>
      <c r="E1386" s="10" t="str">
        <f>HYPERLINK("https://twitter.com/ahorapodemos/status/1065501742463418373","1065501742463418373")</f>
        <v>1065501742463418373</v>
      </c>
      <c r="F1386" s="14" t="s">
        <v>96</v>
      </c>
      <c r="G1386" s="11"/>
      <c r="H1386" s="11"/>
      <c r="I1386" s="12">
        <v>313</v>
      </c>
      <c r="J1386" s="12">
        <v>454</v>
      </c>
      <c r="K1386" s="13" t="str">
        <f>HYPERLINK("https://about.twitter.com/products/tweetdeck","TweetDeck")</f>
        <v>TweetDeck</v>
      </c>
      <c r="L1386" s="12">
        <v>1338987</v>
      </c>
      <c r="M1386" s="12">
        <v>1529</v>
      </c>
      <c r="N1386" s="12">
        <v>5654</v>
      </c>
      <c r="O1386" s="18" t="s">
        <v>52</v>
      </c>
      <c r="P1386" s="6">
        <v>41651.201979166668</v>
      </c>
      <c r="Q1386" s="16" t="s">
        <v>54</v>
      </c>
      <c r="R1386" s="17" t="s">
        <v>56</v>
      </c>
      <c r="S1386" s="14" t="s">
        <v>58</v>
      </c>
      <c r="T1386" s="11"/>
      <c r="U1386" s="10" t="str">
        <f>HYPERLINK("https://pbs.twimg.com/profile_images/1036536413548892160/J0K-j7cz.jpg","View")</f>
        <v>View</v>
      </c>
    </row>
    <row r="1387" spans="1:21" ht="40.799999999999997">
      <c r="A1387" s="6">
        <v>43425.962326388893</v>
      </c>
      <c r="B1387" s="7" t="str">
        <f>HYPERLINK("https://twitter.com/Tonitronon","@Tonitronon")</f>
        <v>@Tonitronon</v>
      </c>
      <c r="C1387" s="8" t="s">
        <v>6493</v>
      </c>
      <c r="D1387" s="9" t="s">
        <v>6494</v>
      </c>
      <c r="E1387" s="10" t="str">
        <f>HYPERLINK("https://twitter.com/Tonitronon/status/1065501571528749057","1065501571528749057")</f>
        <v>1065501571528749057</v>
      </c>
      <c r="F1387" s="14" t="s">
        <v>529</v>
      </c>
      <c r="G1387" s="11"/>
      <c r="H1387" s="11"/>
      <c r="I1387" s="12">
        <v>0</v>
      </c>
      <c r="J1387" s="12">
        <v>0</v>
      </c>
      <c r="K1387" s="13" t="str">
        <f t="shared" ref="K1387:K1390" si="286">HYPERLINK("http://twitter.com","Twitter Web Client")</f>
        <v>Twitter Web Client</v>
      </c>
      <c r="L1387" s="12">
        <v>26</v>
      </c>
      <c r="M1387" s="12">
        <v>59</v>
      </c>
      <c r="N1387" s="12">
        <v>0</v>
      </c>
      <c r="O1387" s="15"/>
      <c r="P1387" s="6">
        <v>40605.155648148146</v>
      </c>
      <c r="Q1387" s="16" t="s">
        <v>6495</v>
      </c>
      <c r="R1387" s="17" t="s">
        <v>6496</v>
      </c>
      <c r="S1387" s="11"/>
      <c r="T1387" s="11"/>
      <c r="U1387" s="10" t="str">
        <f>HYPERLINK("https://pbs.twimg.com/profile_images/378800000756125790/037772db36bce91ad3ecf098aea8e6e9.jpeg","View")</f>
        <v>View</v>
      </c>
    </row>
    <row r="1388" spans="1:21" ht="51">
      <c r="A1388" s="6">
        <v>43425.961817129632</v>
      </c>
      <c r="B1388" s="7" t="str">
        <f>HYPERLINK("https://twitter.com/PropheticSpiri","@PropheticSpiri")</f>
        <v>@PropheticSpiri</v>
      </c>
      <c r="C1388" s="8" t="s">
        <v>6477</v>
      </c>
      <c r="D1388" s="9" t="s">
        <v>6497</v>
      </c>
      <c r="E1388" s="10" t="str">
        <f>HYPERLINK("https://twitter.com/PropheticSpiri/status/1065501387239374848","1065501387239374848")</f>
        <v>1065501387239374848</v>
      </c>
      <c r="F1388" s="11"/>
      <c r="G1388" s="11"/>
      <c r="H1388" s="11"/>
      <c r="I1388" s="12">
        <v>0</v>
      </c>
      <c r="J1388" s="12">
        <v>0</v>
      </c>
      <c r="K1388" s="13" t="str">
        <f t="shared" si="286"/>
        <v>Twitter Web Client</v>
      </c>
      <c r="L1388" s="12">
        <v>4421</v>
      </c>
      <c r="M1388" s="12">
        <v>3953</v>
      </c>
      <c r="N1388" s="12">
        <v>14</v>
      </c>
      <c r="O1388" s="15"/>
      <c r="P1388" s="6">
        <v>40158.193611111114</v>
      </c>
      <c r="Q1388" s="16" t="s">
        <v>6480</v>
      </c>
      <c r="R1388" s="17" t="s">
        <v>6481</v>
      </c>
      <c r="S1388" s="11"/>
      <c r="T1388" s="11"/>
      <c r="U1388" s="10" t="str">
        <f>HYPERLINK("https://pbs.twimg.com/profile_images/1061724752539205633/n7zdAxXu.jpg","View")</f>
        <v>View</v>
      </c>
    </row>
    <row r="1389" spans="1:21" ht="30.6">
      <c r="A1389" s="6">
        <v>43425.961157407408</v>
      </c>
      <c r="B1389" s="7" t="str">
        <f>HYPERLINK("https://twitter.com/rosamariaartal","@rosamariaartal")</f>
        <v>@rosamariaartal</v>
      </c>
      <c r="C1389" s="8" t="s">
        <v>3264</v>
      </c>
      <c r="D1389" s="9" t="s">
        <v>3265</v>
      </c>
      <c r="E1389" s="10" t="str">
        <f>HYPERLINK("https://twitter.com/rosamariaartal/status/1065501148222754816","1065501148222754816")</f>
        <v>1065501148222754816</v>
      </c>
      <c r="F1389" s="14" t="s">
        <v>529</v>
      </c>
      <c r="G1389" s="11"/>
      <c r="H1389" s="11"/>
      <c r="I1389" s="12">
        <v>6</v>
      </c>
      <c r="J1389" s="12">
        <v>7</v>
      </c>
      <c r="K1389" s="13" t="str">
        <f t="shared" si="286"/>
        <v>Twitter Web Client</v>
      </c>
      <c r="L1389" s="12">
        <v>103732</v>
      </c>
      <c r="M1389" s="12">
        <v>3006</v>
      </c>
      <c r="N1389" s="12">
        <v>2702</v>
      </c>
      <c r="O1389" s="15"/>
      <c r="P1389" s="6">
        <v>40094.444687499999</v>
      </c>
      <c r="Q1389" s="16" t="s">
        <v>886</v>
      </c>
      <c r="R1389" s="17" t="s">
        <v>3266</v>
      </c>
      <c r="S1389" s="14" t="s">
        <v>3267</v>
      </c>
      <c r="T1389" s="11"/>
      <c r="U1389" s="10" t="str">
        <f>HYPERLINK("https://pbs.twimg.com/profile_images/780888265238974464/fOR4WuD5.jpg","View")</f>
        <v>View</v>
      </c>
    </row>
    <row r="1390" spans="1:21" ht="51">
      <c r="A1390" s="6">
        <v>43425.960844907408</v>
      </c>
      <c r="B1390" s="7" t="str">
        <f>HYPERLINK("https://twitter.com/PropheticSpiri","@PropheticSpiri")</f>
        <v>@PropheticSpiri</v>
      </c>
      <c r="C1390" s="8" t="s">
        <v>6477</v>
      </c>
      <c r="D1390" s="9" t="s">
        <v>6498</v>
      </c>
      <c r="E1390" s="10" t="str">
        <f>HYPERLINK("https://twitter.com/PropheticSpiri/status/1065501036469735424","1065501036469735424")</f>
        <v>1065501036469735424</v>
      </c>
      <c r="F1390" s="11"/>
      <c r="G1390" s="11"/>
      <c r="H1390" s="11"/>
      <c r="I1390" s="12">
        <v>0</v>
      </c>
      <c r="J1390" s="12">
        <v>0</v>
      </c>
      <c r="K1390" s="13" t="str">
        <f t="shared" si="286"/>
        <v>Twitter Web Client</v>
      </c>
      <c r="L1390" s="12">
        <v>4421</v>
      </c>
      <c r="M1390" s="12">
        <v>3953</v>
      </c>
      <c r="N1390" s="12">
        <v>14</v>
      </c>
      <c r="O1390" s="15"/>
      <c r="P1390" s="6">
        <v>40158.193611111114</v>
      </c>
      <c r="Q1390" s="16" t="s">
        <v>6480</v>
      </c>
      <c r="R1390" s="17" t="s">
        <v>6481</v>
      </c>
      <c r="S1390" s="11"/>
      <c r="T1390" s="11"/>
      <c r="U1390" s="10" t="str">
        <f>HYPERLINK("https://pbs.twimg.com/profile_images/1061724752539205633/n7zdAxXu.jpg","View")</f>
        <v>View</v>
      </c>
    </row>
    <row r="1391" spans="1:21" ht="51">
      <c r="A1391" s="6">
        <v>43425.959756944445</v>
      </c>
      <c r="B1391" s="7" t="str">
        <f>HYPERLINK("https://twitter.com/compromtido22","@compromtido22")</f>
        <v>@compromtido22</v>
      </c>
      <c r="C1391" s="8" t="s">
        <v>5611</v>
      </c>
      <c r="D1391" s="9" t="s">
        <v>6499</v>
      </c>
      <c r="E1391" s="10" t="str">
        <f>HYPERLINK("https://twitter.com/compromtido22/status/1065500642737876992","1065500642737876992")</f>
        <v>1065500642737876992</v>
      </c>
      <c r="F1391" s="11"/>
      <c r="G1391" s="11"/>
      <c r="H1391" s="11"/>
      <c r="I1391" s="12">
        <v>0</v>
      </c>
      <c r="J1391" s="12">
        <v>0</v>
      </c>
      <c r="K1391" s="13" t="str">
        <f>HYPERLINK("http://twitter.com/download/android","Twitter for Android")</f>
        <v>Twitter for Android</v>
      </c>
      <c r="L1391" s="12">
        <v>962</v>
      </c>
      <c r="M1391" s="12">
        <v>859</v>
      </c>
      <c r="N1391" s="12">
        <v>15</v>
      </c>
      <c r="O1391" s="15"/>
      <c r="P1391" s="6">
        <v>42411.457291666666</v>
      </c>
      <c r="Q1391" s="11"/>
      <c r="R1391" s="17" t="s">
        <v>5614</v>
      </c>
      <c r="S1391" s="11"/>
      <c r="T1391" s="11"/>
      <c r="U1391" s="10" t="str">
        <f>HYPERLINK("https://pbs.twimg.com/profile_images/1062806370267860993/RfSkyzB-.jpg","View")</f>
        <v>View</v>
      </c>
    </row>
    <row r="1392" spans="1:21" ht="51">
      <c r="A1392" s="6">
        <v>43425.959097222221</v>
      </c>
      <c r="B1392" s="7" t="str">
        <f>HYPERLINK("https://twitter.com/PropheticSpiri","@PropheticSpiri")</f>
        <v>@PropheticSpiri</v>
      </c>
      <c r="C1392" s="8" t="s">
        <v>6477</v>
      </c>
      <c r="D1392" s="9" t="s">
        <v>6500</v>
      </c>
      <c r="E1392" s="10" t="str">
        <f>HYPERLINK("https://twitter.com/PropheticSpiri/status/1065500401359818753","1065500401359818753")</f>
        <v>1065500401359818753</v>
      </c>
      <c r="F1392" s="11"/>
      <c r="G1392" s="11"/>
      <c r="H1392" s="11"/>
      <c r="I1392" s="12">
        <v>0</v>
      </c>
      <c r="J1392" s="12">
        <v>0</v>
      </c>
      <c r="K1392" s="13" t="str">
        <f>HYPERLINK("http://twitter.com","Twitter Web Client")</f>
        <v>Twitter Web Client</v>
      </c>
      <c r="L1392" s="12">
        <v>4421</v>
      </c>
      <c r="M1392" s="12">
        <v>3953</v>
      </c>
      <c r="N1392" s="12">
        <v>14</v>
      </c>
      <c r="O1392" s="15"/>
      <c r="P1392" s="6">
        <v>40158.193611111114</v>
      </c>
      <c r="Q1392" s="16" t="s">
        <v>6480</v>
      </c>
      <c r="R1392" s="17" t="s">
        <v>6481</v>
      </c>
      <c r="S1392" s="11"/>
      <c r="T1392" s="11"/>
      <c r="U1392" s="10" t="str">
        <f>HYPERLINK("https://pbs.twimg.com/profile_images/1061724752539205633/n7zdAxXu.jpg","View")</f>
        <v>View</v>
      </c>
    </row>
    <row r="1393" spans="1:21" ht="40.799999999999997">
      <c r="A1393" s="6">
        <v>43425.958657407406</v>
      </c>
      <c r="B1393" s="7" t="str">
        <f>HYPERLINK("https://twitter.com/PlazaDlComercio","@PlazaDlComercio")</f>
        <v>@PlazaDlComercio</v>
      </c>
      <c r="C1393" s="8" t="s">
        <v>6501</v>
      </c>
      <c r="D1393" s="9" t="s">
        <v>6502</v>
      </c>
      <c r="E1393" s="10" t="str">
        <f>HYPERLINK("https://twitter.com/PlazaDlComercio/status/1065500240864833536","1065500240864833536")</f>
        <v>1065500240864833536</v>
      </c>
      <c r="F1393" s="14" t="s">
        <v>6503</v>
      </c>
      <c r="G1393" s="14" t="s">
        <v>6504</v>
      </c>
      <c r="H1393" s="11"/>
      <c r="I1393" s="12">
        <v>0</v>
      </c>
      <c r="J1393" s="12">
        <v>0</v>
      </c>
      <c r="K1393" s="13" t="str">
        <f>HYPERLINK("https://www.hootsuite.com","Hootsuite Inc.")</f>
        <v>Hootsuite Inc.</v>
      </c>
      <c r="L1393" s="12">
        <v>853</v>
      </c>
      <c r="M1393" s="12">
        <v>1457</v>
      </c>
      <c r="N1393" s="12">
        <v>26</v>
      </c>
      <c r="O1393" s="15"/>
      <c r="P1393" s="6">
        <v>41604.56386574074</v>
      </c>
      <c r="Q1393" s="11"/>
      <c r="R1393" s="17" t="s">
        <v>6505</v>
      </c>
      <c r="S1393" s="14" t="s">
        <v>6506</v>
      </c>
      <c r="T1393" s="11"/>
      <c r="U1393" s="10" t="str">
        <f>HYPERLINK("https://pbs.twimg.com/profile_images/578532434121199616/2uHTZcdq.png","View")</f>
        <v>View</v>
      </c>
    </row>
    <row r="1394" spans="1:21" ht="20.399999999999999">
      <c r="A1394" s="6">
        <v>43425.958483796298</v>
      </c>
      <c r="B1394" s="7" t="str">
        <f>HYPERLINK("https://twitter.com/CorcobaLuisa","@CorcobaLuisa")</f>
        <v>@CorcobaLuisa</v>
      </c>
      <c r="C1394" s="8" t="s">
        <v>6507</v>
      </c>
      <c r="D1394" s="9" t="s">
        <v>768</v>
      </c>
      <c r="E1394" s="10" t="str">
        <f>HYPERLINK("https://twitter.com/CorcobaLuisa/status/1065500181515390976","1065500181515390976")</f>
        <v>1065500181515390976</v>
      </c>
      <c r="F1394" s="14" t="s">
        <v>529</v>
      </c>
      <c r="G1394" s="11"/>
      <c r="H1394" s="11"/>
      <c r="I1394" s="12">
        <v>0</v>
      </c>
      <c r="J1394" s="12">
        <v>0</v>
      </c>
      <c r="K1394" s="13" t="str">
        <f>HYPERLINK("http://twitter.com/download/iphone","Twitter for iPhone")</f>
        <v>Twitter for iPhone</v>
      </c>
      <c r="L1394" s="12">
        <v>42</v>
      </c>
      <c r="M1394" s="12">
        <v>87</v>
      </c>
      <c r="N1394" s="12">
        <v>1</v>
      </c>
      <c r="O1394" s="15"/>
      <c r="P1394" s="6">
        <v>41160.099780092591</v>
      </c>
      <c r="Q1394" s="16" t="s">
        <v>388</v>
      </c>
      <c r="R1394" s="19"/>
      <c r="S1394" s="11"/>
      <c r="T1394" s="11"/>
      <c r="U1394" s="10" t="str">
        <f>HYPERLINK("https://pbs.twimg.com/profile_images/843140309328564225/_YuRYuIs.jpg","View")</f>
        <v>View</v>
      </c>
    </row>
    <row r="1395" spans="1:21" ht="30.6">
      <c r="A1395" s="6">
        <v>43425.958240740743</v>
      </c>
      <c r="B1395" s="7" t="str">
        <f>HYPERLINK("https://twitter.com/jc_karnak23","@jc_karnak23")</f>
        <v>@jc_karnak23</v>
      </c>
      <c r="C1395" s="8" t="s">
        <v>6508</v>
      </c>
      <c r="D1395" s="9" t="s">
        <v>6509</v>
      </c>
      <c r="E1395" s="10" t="str">
        <f>HYPERLINK("https://twitter.com/jc_karnak23/status/1065500092906508288","1065500092906508288")</f>
        <v>1065500092906508288</v>
      </c>
      <c r="F1395" s="14" t="s">
        <v>3889</v>
      </c>
      <c r="G1395" s="11"/>
      <c r="H1395" s="11"/>
      <c r="I1395" s="12">
        <v>0</v>
      </c>
      <c r="J1395" s="12">
        <v>0</v>
      </c>
      <c r="K1395" s="13" t="str">
        <f t="shared" ref="K1395:K1396" si="287">HYPERLINK("http://twitter.com/download/android","Twitter for Android")</f>
        <v>Twitter for Android</v>
      </c>
      <c r="L1395" s="12">
        <v>2819</v>
      </c>
      <c r="M1395" s="12">
        <v>2824</v>
      </c>
      <c r="N1395" s="12">
        <v>33</v>
      </c>
      <c r="O1395" s="15"/>
      <c r="P1395" s="6">
        <v>41344.077569444446</v>
      </c>
      <c r="Q1395" s="16" t="s">
        <v>6510</v>
      </c>
      <c r="R1395" s="17" t="s">
        <v>6511</v>
      </c>
      <c r="S1395" s="11"/>
      <c r="T1395" s="11"/>
      <c r="U1395" s="10" t="str">
        <f>HYPERLINK("https://pbs.twimg.com/profile_images/378800000791829812/b1c03852c594214bb9fbd4c8b553b4f9.jpeg","View")</f>
        <v>View</v>
      </c>
    </row>
    <row r="1396" spans="1:21" ht="51">
      <c r="A1396" s="6">
        <v>43425.957650462966</v>
      </c>
      <c r="B1396" s="7" t="str">
        <f>HYPERLINK("https://twitter.com/roscs_latina","@roscs_latina")</f>
        <v>@roscs_latina</v>
      </c>
      <c r="C1396" s="8" t="s">
        <v>6512</v>
      </c>
      <c r="D1396" s="9" t="s">
        <v>6513</v>
      </c>
      <c r="E1396" s="10" t="str">
        <f>HYPERLINK("https://twitter.com/roscs_latina/status/1065499876111327233","1065499876111327233")</f>
        <v>1065499876111327233</v>
      </c>
      <c r="F1396" s="14" t="s">
        <v>529</v>
      </c>
      <c r="G1396" s="11"/>
      <c r="H1396" s="11"/>
      <c r="I1396" s="12">
        <v>0</v>
      </c>
      <c r="J1396" s="12">
        <v>0</v>
      </c>
      <c r="K1396" s="13" t="str">
        <f t="shared" si="287"/>
        <v>Twitter for Android</v>
      </c>
      <c r="L1396" s="12">
        <v>146</v>
      </c>
      <c r="M1396" s="12">
        <v>532</v>
      </c>
      <c r="N1396" s="12">
        <v>10</v>
      </c>
      <c r="O1396" s="15"/>
      <c r="P1396" s="6">
        <v>42319.983310185184</v>
      </c>
      <c r="Q1396" s="11"/>
      <c r="R1396" s="17" t="s">
        <v>6514</v>
      </c>
      <c r="S1396" s="11"/>
      <c r="T1396" s="11"/>
      <c r="U1396" s="10" t="str">
        <f>HYPERLINK("https://pbs.twimg.com/profile_images/964596759119966208/k_QHdMnB.jpg","View")</f>
        <v>View</v>
      </c>
    </row>
    <row r="1397" spans="1:21" ht="20.399999999999999">
      <c r="A1397" s="6">
        <v>43425.957523148143</v>
      </c>
      <c r="B1397" s="7" t="str">
        <f>HYPERLINK("https://twitter.com/Red_68","@Red_68")</f>
        <v>@Red_68</v>
      </c>
      <c r="C1397" s="8" t="s">
        <v>6515</v>
      </c>
      <c r="D1397" s="9" t="s">
        <v>6516</v>
      </c>
      <c r="E1397" s="10" t="str">
        <f>HYPERLINK("https://twitter.com/Red_68/status/1065499832847089664","1065499832847089664")</f>
        <v>1065499832847089664</v>
      </c>
      <c r="F1397" s="16" t="s">
        <v>6517</v>
      </c>
      <c r="G1397" s="11"/>
      <c r="H1397" s="11"/>
      <c r="I1397" s="12">
        <v>0</v>
      </c>
      <c r="J1397" s="12">
        <v>0</v>
      </c>
      <c r="K1397" s="13" t="str">
        <f>HYPERLINK("https://mobile.twitter.com","Twitter Lite")</f>
        <v>Twitter Lite</v>
      </c>
      <c r="L1397" s="12">
        <v>349</v>
      </c>
      <c r="M1397" s="12">
        <v>387</v>
      </c>
      <c r="N1397" s="12">
        <v>43</v>
      </c>
      <c r="O1397" s="15"/>
      <c r="P1397" s="6">
        <v>40746.061956018515</v>
      </c>
      <c r="Q1397" s="16" t="s">
        <v>6518</v>
      </c>
      <c r="R1397" s="17" t="s">
        <v>6519</v>
      </c>
      <c r="S1397" s="14" t="s">
        <v>6520</v>
      </c>
      <c r="T1397" s="11"/>
      <c r="U1397" s="10" t="str">
        <f>HYPERLINK("https://pbs.twimg.com/profile_images/1056970559161032704/euiFdvJ9.jpg","View")</f>
        <v>View</v>
      </c>
    </row>
    <row r="1398" spans="1:21" ht="40.799999999999997">
      <c r="A1398" s="6">
        <v>43425.95584490741</v>
      </c>
      <c r="B1398" s="7" t="str">
        <f>HYPERLINK("https://twitter.com/carlossmato","@carlossmato")</f>
        <v>@carlossmato</v>
      </c>
      <c r="C1398" s="8" t="s">
        <v>3268</v>
      </c>
      <c r="D1398" s="9" t="s">
        <v>3269</v>
      </c>
      <c r="E1398" s="10" t="str">
        <f>HYPERLINK("https://twitter.com/carlossmato/status/1065499224408756224","1065499224408756224")</f>
        <v>1065499224408756224</v>
      </c>
      <c r="F1398" s="14" t="s">
        <v>96</v>
      </c>
      <c r="G1398" s="11"/>
      <c r="H1398" s="11"/>
      <c r="I1398" s="12">
        <v>38</v>
      </c>
      <c r="J1398" s="12">
        <v>62</v>
      </c>
      <c r="K1398" s="13" t="str">
        <f>HYPERLINK("http://twitter.com/download/iphone","Twitter for iPhone")</f>
        <v>Twitter for iPhone</v>
      </c>
      <c r="L1398" s="12">
        <v>22137</v>
      </c>
      <c r="M1398" s="12">
        <v>1795</v>
      </c>
      <c r="N1398" s="12">
        <v>363</v>
      </c>
      <c r="O1398" s="15"/>
      <c r="P1398" s="6">
        <v>41348.618414351848</v>
      </c>
      <c r="Q1398" s="16" t="s">
        <v>87</v>
      </c>
      <c r="R1398" s="17" t="s">
        <v>3270</v>
      </c>
      <c r="S1398" s="14" t="s">
        <v>3271</v>
      </c>
      <c r="T1398" s="11"/>
      <c r="U1398" s="10" t="str">
        <f>HYPERLINK("https://pbs.twimg.com/profile_images/1005030924273283072/TqI2iSxE.jpg","View")</f>
        <v>View</v>
      </c>
    </row>
    <row r="1399" spans="1:21" ht="20.399999999999999">
      <c r="A1399" s="6">
        <v>43425.955706018518</v>
      </c>
      <c r="B1399" s="7" t="str">
        <f>HYPERLINK("https://twitter.com/PacobermuM","@PacobermuM")</f>
        <v>@PacobermuM</v>
      </c>
      <c r="C1399" s="8" t="s">
        <v>6521</v>
      </c>
      <c r="D1399" s="9" t="s">
        <v>768</v>
      </c>
      <c r="E1399" s="10" t="str">
        <f>HYPERLINK("https://twitter.com/PacobermuM/status/1065499173766742016","1065499173766742016")</f>
        <v>1065499173766742016</v>
      </c>
      <c r="F1399" s="14" t="s">
        <v>529</v>
      </c>
      <c r="G1399" s="11"/>
      <c r="H1399" s="11"/>
      <c r="I1399" s="12">
        <v>0</v>
      </c>
      <c r="J1399" s="12">
        <v>0</v>
      </c>
      <c r="K1399" s="13" t="str">
        <f>HYPERLINK("http://twitter.com","Twitter Web Client")</f>
        <v>Twitter Web Client</v>
      </c>
      <c r="L1399" s="12">
        <v>39</v>
      </c>
      <c r="M1399" s="12">
        <v>141</v>
      </c>
      <c r="N1399" s="12">
        <v>0</v>
      </c>
      <c r="O1399" s="15"/>
      <c r="P1399" s="6">
        <v>42641.5546875</v>
      </c>
      <c r="Q1399" s="11"/>
      <c r="R1399" s="19"/>
      <c r="S1399" s="11"/>
      <c r="T1399" s="11"/>
      <c r="U1399" s="10" t="str">
        <f>HYPERLINK("https://pbs.twimg.com/profile_images/909479262893330432/4EUAYPVN.jpg","View")</f>
        <v>View</v>
      </c>
    </row>
    <row r="1400" spans="1:21" ht="40.799999999999997">
      <c r="A1400" s="6">
        <v>43425.950601851851</v>
      </c>
      <c r="B1400" s="7" t="str">
        <f>HYPERLINK("https://twitter.com/Chespir_es","@Chespir_es")</f>
        <v>@Chespir_es</v>
      </c>
      <c r="C1400" s="8" t="s">
        <v>6522</v>
      </c>
      <c r="D1400" s="9" t="s">
        <v>6523</v>
      </c>
      <c r="E1400" s="10" t="str">
        <f>HYPERLINK("https://twitter.com/Chespir_es/status/1065497323483119617","1065497323483119617")</f>
        <v>1065497323483119617</v>
      </c>
      <c r="F1400" s="14" t="s">
        <v>529</v>
      </c>
      <c r="G1400" s="11"/>
      <c r="H1400" s="11"/>
      <c r="I1400" s="12">
        <v>0</v>
      </c>
      <c r="J1400" s="12">
        <v>0</v>
      </c>
      <c r="K1400" s="13" t="str">
        <f>HYPERLINK("http://twitter.com/download/iphone","Twitter for iPhone")</f>
        <v>Twitter for iPhone</v>
      </c>
      <c r="L1400" s="12">
        <v>535</v>
      </c>
      <c r="M1400" s="12">
        <v>497</v>
      </c>
      <c r="N1400" s="12">
        <v>49</v>
      </c>
      <c r="O1400" s="15"/>
      <c r="P1400" s="6">
        <v>40338.570370370369</v>
      </c>
      <c r="Q1400" s="16" t="s">
        <v>28</v>
      </c>
      <c r="R1400" s="17" t="s">
        <v>6524</v>
      </c>
      <c r="S1400" s="14" t="s">
        <v>6525</v>
      </c>
      <c r="T1400" s="11"/>
      <c r="U1400" s="10" t="str">
        <f>HYPERLINK("https://pbs.twimg.com/profile_images/966330214681804802/G-TJamQ9.jpg","View")</f>
        <v>View</v>
      </c>
    </row>
    <row r="1401" spans="1:21" ht="40.799999999999997">
      <c r="A1401" s="6">
        <v>43425.949849537035</v>
      </c>
      <c r="B1401" s="7" t="str">
        <f>HYPERLINK("https://twitter.com/pablopabloheras","@pablopabloheras")</f>
        <v>@pablopabloheras</v>
      </c>
      <c r="C1401" s="8" t="s">
        <v>3274</v>
      </c>
      <c r="D1401" s="9" t="s">
        <v>3275</v>
      </c>
      <c r="E1401" s="10" t="str">
        <f>HYPERLINK("https://twitter.com/pablopabloheras/status/1065497051553775617","1065497051553775617")</f>
        <v>1065497051553775617</v>
      </c>
      <c r="F1401" s="14" t="s">
        <v>96</v>
      </c>
      <c r="G1401" s="11"/>
      <c r="H1401" s="11"/>
      <c r="I1401" s="12">
        <v>2</v>
      </c>
      <c r="J1401" s="12">
        <v>3</v>
      </c>
      <c r="K1401" s="13" t="str">
        <f>HYPERLINK("http://twitter.com/download/android","Twitter for Android")</f>
        <v>Twitter for Android</v>
      </c>
      <c r="L1401" s="12">
        <v>4697</v>
      </c>
      <c r="M1401" s="12">
        <v>5008</v>
      </c>
      <c r="N1401" s="12">
        <v>79</v>
      </c>
      <c r="O1401" s="15"/>
      <c r="P1401" s="6">
        <v>40680.612523148149</v>
      </c>
      <c r="Q1401" s="16" t="s">
        <v>38</v>
      </c>
      <c r="R1401" s="19"/>
      <c r="S1401" s="14" t="s">
        <v>3278</v>
      </c>
      <c r="T1401" s="11"/>
      <c r="U1401" s="10" t="str">
        <f>HYPERLINK("https://pbs.twimg.com/profile_images/1000290268728438786/jHQMKeXh.jpg","View")</f>
        <v>View</v>
      </c>
    </row>
    <row r="1402" spans="1:21" ht="20.399999999999999">
      <c r="A1402" s="6">
        <v>43425.946412037039</v>
      </c>
      <c r="B1402" s="7" t="str">
        <f>HYPERLINK("https://twitter.com/IamRGR1","@IamRGR1")</f>
        <v>@IamRGR1</v>
      </c>
      <c r="C1402" s="8" t="s">
        <v>3279</v>
      </c>
      <c r="D1402" s="9" t="s">
        <v>3280</v>
      </c>
      <c r="E1402" s="10" t="str">
        <f>HYPERLINK("https://twitter.com/IamRGR1/status/1065495804960477184","1065495804960477184")</f>
        <v>1065495804960477184</v>
      </c>
      <c r="F1402" s="14" t="s">
        <v>96</v>
      </c>
      <c r="G1402" s="11"/>
      <c r="H1402" s="11"/>
      <c r="I1402" s="12">
        <v>0</v>
      </c>
      <c r="J1402" s="12">
        <v>0</v>
      </c>
      <c r="K1402" s="13" t="str">
        <f>HYPERLINK("http://twitter.com","Twitter Web Client")</f>
        <v>Twitter Web Client</v>
      </c>
      <c r="L1402" s="12">
        <v>183</v>
      </c>
      <c r="M1402" s="12">
        <v>304</v>
      </c>
      <c r="N1402" s="12">
        <v>2</v>
      </c>
      <c r="O1402" s="15"/>
      <c r="P1402" s="6">
        <v>42928.516759259262</v>
      </c>
      <c r="Q1402" s="16" t="s">
        <v>87</v>
      </c>
      <c r="R1402" s="17" t="s">
        <v>3279</v>
      </c>
      <c r="S1402" s="11"/>
      <c r="T1402" s="11"/>
      <c r="U1402" s="10" t="str">
        <f>HYPERLINK("https://pbs.twimg.com/profile_images/1014593703481102338/p74qy712.jpg","View")</f>
        <v>View</v>
      </c>
    </row>
    <row r="1403" spans="1:21" ht="51">
      <c r="A1403" s="6">
        <v>43425.944351851853</v>
      </c>
      <c r="B1403" s="7" t="str">
        <f t="shared" ref="B1403:B1404" si="288">HYPERLINK("https://twitter.com/pablopabloheras","@pablopabloheras")</f>
        <v>@pablopabloheras</v>
      </c>
      <c r="C1403" s="8" t="s">
        <v>3274</v>
      </c>
      <c r="D1403" s="9" t="s">
        <v>3281</v>
      </c>
      <c r="E1403" s="10" t="str">
        <f>HYPERLINK("https://twitter.com/pablopabloheras/status/1065495060198903813","1065495060198903813")</f>
        <v>1065495060198903813</v>
      </c>
      <c r="F1403" s="14" t="s">
        <v>96</v>
      </c>
      <c r="G1403" s="11"/>
      <c r="H1403" s="11"/>
      <c r="I1403" s="12">
        <v>0</v>
      </c>
      <c r="J1403" s="12">
        <v>1</v>
      </c>
      <c r="K1403" s="13" t="str">
        <f t="shared" ref="K1403:K1404" si="289">HYPERLINK("http://twitter.com/download/android","Twitter for Android")</f>
        <v>Twitter for Android</v>
      </c>
      <c r="L1403" s="12">
        <v>4697</v>
      </c>
      <c r="M1403" s="12">
        <v>5008</v>
      </c>
      <c r="N1403" s="12">
        <v>79</v>
      </c>
      <c r="O1403" s="15"/>
      <c r="P1403" s="6">
        <v>40680.612523148149</v>
      </c>
      <c r="Q1403" s="16" t="s">
        <v>38</v>
      </c>
      <c r="R1403" s="19"/>
      <c r="S1403" s="14" t="s">
        <v>3278</v>
      </c>
      <c r="T1403" s="11"/>
      <c r="U1403" s="10" t="str">
        <f t="shared" ref="U1403:U1404" si="290">HYPERLINK("https://pbs.twimg.com/profile_images/1000290268728438786/jHQMKeXh.jpg","View")</f>
        <v>View</v>
      </c>
    </row>
    <row r="1404" spans="1:21" ht="20.399999999999999">
      <c r="A1404" s="6">
        <v>43425.940509259264</v>
      </c>
      <c r="B1404" s="7" t="str">
        <f t="shared" si="288"/>
        <v>@pablopabloheras</v>
      </c>
      <c r="C1404" s="8" t="s">
        <v>3274</v>
      </c>
      <c r="D1404" s="9" t="s">
        <v>768</v>
      </c>
      <c r="E1404" s="10" t="str">
        <f>HYPERLINK("https://twitter.com/pablopabloheras/status/1065493666138136576","1065493666138136576")</f>
        <v>1065493666138136576</v>
      </c>
      <c r="F1404" s="14" t="s">
        <v>529</v>
      </c>
      <c r="G1404" s="11"/>
      <c r="H1404" s="11"/>
      <c r="I1404" s="12">
        <v>0</v>
      </c>
      <c r="J1404" s="12">
        <v>0</v>
      </c>
      <c r="K1404" s="13" t="str">
        <f t="shared" si="289"/>
        <v>Twitter for Android</v>
      </c>
      <c r="L1404" s="12">
        <v>4697</v>
      </c>
      <c r="M1404" s="12">
        <v>5008</v>
      </c>
      <c r="N1404" s="12">
        <v>79</v>
      </c>
      <c r="O1404" s="15"/>
      <c r="P1404" s="6">
        <v>40680.612523148149</v>
      </c>
      <c r="Q1404" s="16" t="s">
        <v>38</v>
      </c>
      <c r="R1404" s="19"/>
      <c r="S1404" s="14" t="s">
        <v>3278</v>
      </c>
      <c r="T1404" s="11"/>
      <c r="U1404" s="10" t="str">
        <f t="shared" si="290"/>
        <v>View</v>
      </c>
    </row>
    <row r="1405" spans="1:21" ht="61.2">
      <c r="A1405" s="6">
        <v>43425.936967592592</v>
      </c>
      <c r="B1405" s="7" t="str">
        <f>HYPERLINK("https://twitter.com/YoDanielRuiz","@YoDanielRuiz")</f>
        <v>@YoDanielRuiz</v>
      </c>
      <c r="C1405" s="8" t="s">
        <v>3282</v>
      </c>
      <c r="D1405" s="9" t="s">
        <v>3283</v>
      </c>
      <c r="E1405" s="10" t="str">
        <f>HYPERLINK("https://twitter.com/YoDanielRuiz/status/1065492381171179520","1065492381171179520")</f>
        <v>1065492381171179520</v>
      </c>
      <c r="F1405" s="16" t="s">
        <v>3285</v>
      </c>
      <c r="G1405" s="14" t="s">
        <v>3286</v>
      </c>
      <c r="H1405" s="11"/>
      <c r="I1405" s="12">
        <v>0</v>
      </c>
      <c r="J1405" s="12">
        <v>0</v>
      </c>
      <c r="K1405" s="13" t="str">
        <f>HYPERLINK("http://twitter.com/download/iphone","Twitter for iPhone")</f>
        <v>Twitter for iPhone</v>
      </c>
      <c r="L1405" s="12">
        <v>120</v>
      </c>
      <c r="M1405" s="12">
        <v>73</v>
      </c>
      <c r="N1405" s="12">
        <v>2</v>
      </c>
      <c r="O1405" s="15"/>
      <c r="P1405" s="6">
        <v>40469.282870370371</v>
      </c>
      <c r="Q1405" s="16" t="s">
        <v>1129</v>
      </c>
      <c r="R1405" s="17" t="s">
        <v>3287</v>
      </c>
      <c r="S1405" s="11"/>
      <c r="T1405" s="11"/>
      <c r="U1405" s="10" t="str">
        <f>HYPERLINK("https://pbs.twimg.com/profile_images/966759234913406976/obbJjMg6.jpg","View")</f>
        <v>View</v>
      </c>
    </row>
    <row r="1406" spans="1:21" ht="51">
      <c r="A1406" s="6">
        <v>43425.933912037042</v>
      </c>
      <c r="B1406" s="7" t="str">
        <f>HYPERLINK("https://twitter.com/capitan_ahab","@capitan_ahab")</f>
        <v>@capitan_ahab</v>
      </c>
      <c r="C1406" s="8" t="s">
        <v>3291</v>
      </c>
      <c r="D1406" s="9" t="s">
        <v>3292</v>
      </c>
      <c r="E1406" s="10" t="str">
        <f>HYPERLINK("https://twitter.com/capitan_ahab/status/1065491274713640960","1065491274713640960")</f>
        <v>1065491274713640960</v>
      </c>
      <c r="F1406" s="14" t="s">
        <v>96</v>
      </c>
      <c r="G1406" s="14" t="s">
        <v>3294</v>
      </c>
      <c r="H1406" s="11"/>
      <c r="I1406" s="12">
        <v>2</v>
      </c>
      <c r="J1406" s="12">
        <v>3</v>
      </c>
      <c r="K1406" s="13" t="str">
        <f>HYPERLINK("https://about.twitter.com/products/tweetdeck","TweetDeck")</f>
        <v>TweetDeck</v>
      </c>
      <c r="L1406" s="12">
        <v>10141</v>
      </c>
      <c r="M1406" s="12">
        <v>9752</v>
      </c>
      <c r="N1406" s="12">
        <v>208</v>
      </c>
      <c r="O1406" s="15"/>
      <c r="P1406" s="6">
        <v>40049.490416666667</v>
      </c>
      <c r="Q1406" s="16" t="s">
        <v>3297</v>
      </c>
      <c r="R1406" s="17" t="s">
        <v>3298</v>
      </c>
      <c r="S1406" s="14" t="s">
        <v>3299</v>
      </c>
      <c r="T1406" s="11"/>
      <c r="U1406" s="10" t="str">
        <f>HYPERLINK("https://pbs.twimg.com/profile_images/970981738955640832/jw5x2di6.jpg","View")</f>
        <v>View</v>
      </c>
    </row>
    <row r="1407" spans="1:21" ht="20.399999999999999">
      <c r="A1407" s="6">
        <v>43425.931840277779</v>
      </c>
      <c r="B1407" s="7" t="str">
        <f>HYPERLINK("https://twitter.com/clamorsegovia","@clamorsegovia")</f>
        <v>@clamorsegovia</v>
      </c>
      <c r="C1407" s="8" t="s">
        <v>4577</v>
      </c>
      <c r="D1407" s="9" t="s">
        <v>768</v>
      </c>
      <c r="E1407" s="10" t="str">
        <f>HYPERLINK("https://twitter.com/clamorsegovia/status/1065490522373070848","1065490522373070848")</f>
        <v>1065490522373070848</v>
      </c>
      <c r="F1407" s="14" t="s">
        <v>529</v>
      </c>
      <c r="G1407" s="11"/>
      <c r="H1407" s="11"/>
      <c r="I1407" s="12">
        <v>2</v>
      </c>
      <c r="J1407" s="12">
        <v>2</v>
      </c>
      <c r="K1407" s="13" t="str">
        <f t="shared" ref="K1407:K1408" si="291">HYPERLINK("http://twitter.com/download/android","Twitter for Android")</f>
        <v>Twitter for Android</v>
      </c>
      <c r="L1407" s="12">
        <v>2720</v>
      </c>
      <c r="M1407" s="12">
        <v>1715</v>
      </c>
      <c r="N1407" s="12">
        <v>44</v>
      </c>
      <c r="O1407" s="15"/>
      <c r="P1407" s="6">
        <v>40615.067974537036</v>
      </c>
      <c r="Q1407" s="16" t="s">
        <v>38</v>
      </c>
      <c r="R1407" s="17" t="s">
        <v>4580</v>
      </c>
      <c r="S1407" s="14" t="s">
        <v>4581</v>
      </c>
      <c r="T1407" s="11"/>
      <c r="U1407" s="10" t="str">
        <f>HYPERLINK("https://pbs.twimg.com/profile_images/1055051697536622592/sYsCmnMN.jpg","View")</f>
        <v>View</v>
      </c>
    </row>
    <row r="1408" spans="1:21" ht="71.400000000000006">
      <c r="A1408" s="6">
        <v>43425.928865740745</v>
      </c>
      <c r="B1408" s="7" t="str">
        <f>HYPERLINK("https://twitter.com/lvirgilifor","@lvirgilifor")</f>
        <v>@lvirgilifor</v>
      </c>
      <c r="C1408" s="8" t="s">
        <v>720</v>
      </c>
      <c r="D1408" s="9" t="s">
        <v>3302</v>
      </c>
      <c r="E1408" s="10" t="str">
        <f>HYPERLINK("https://twitter.com/lvirgilifor/status/1065489446492086272","1065489446492086272")</f>
        <v>1065489446492086272</v>
      </c>
      <c r="F1408" s="16" t="s">
        <v>1078</v>
      </c>
      <c r="G1408" s="11"/>
      <c r="H1408" s="11"/>
      <c r="I1408" s="12">
        <v>0</v>
      </c>
      <c r="J1408" s="12">
        <v>0</v>
      </c>
      <c r="K1408" s="13" t="str">
        <f t="shared" si="291"/>
        <v>Twitter for Android</v>
      </c>
      <c r="L1408" s="12">
        <v>500</v>
      </c>
      <c r="M1408" s="12">
        <v>1228</v>
      </c>
      <c r="N1408" s="12">
        <v>11</v>
      </c>
      <c r="O1408" s="15"/>
      <c r="P1408" s="6">
        <v>42611.479074074072</v>
      </c>
      <c r="Q1408" s="16" t="s">
        <v>724</v>
      </c>
      <c r="R1408" s="17" t="s">
        <v>725</v>
      </c>
      <c r="S1408" s="11"/>
      <c r="T1408" s="11"/>
      <c r="U1408" s="10" t="str">
        <f>HYPERLINK("https://pbs.twimg.com/profile_images/1037716893455605765/wIhOdKNa.jpg","View")</f>
        <v>View</v>
      </c>
    </row>
    <row r="1409" spans="1:21" ht="20.399999999999999">
      <c r="A1409" s="6">
        <v>43425.919641203705</v>
      </c>
      <c r="B1409" s="7" t="str">
        <f>HYPERLINK("https://twitter.com/Garel50","@Garel50")</f>
        <v>@Garel50</v>
      </c>
      <c r="C1409" s="8" t="s">
        <v>6526</v>
      </c>
      <c r="D1409" s="9" t="s">
        <v>6527</v>
      </c>
      <c r="E1409" s="10" t="str">
        <f>HYPERLINK("https://twitter.com/Garel50/status/1065486101551423488","1065486101551423488")</f>
        <v>1065486101551423488</v>
      </c>
      <c r="F1409" s="14" t="s">
        <v>6528</v>
      </c>
      <c r="G1409" s="11"/>
      <c r="H1409" s="11"/>
      <c r="I1409" s="12">
        <v>0</v>
      </c>
      <c r="J1409" s="12">
        <v>0</v>
      </c>
      <c r="K1409" s="13" t="str">
        <f>HYPERLINK("http://twitter.com","Twitter Web Client")</f>
        <v>Twitter Web Client</v>
      </c>
      <c r="L1409" s="12">
        <v>98</v>
      </c>
      <c r="M1409" s="12">
        <v>474</v>
      </c>
      <c r="N1409" s="12">
        <v>0</v>
      </c>
      <c r="O1409" s="15"/>
      <c r="P1409" s="6">
        <v>43156.172384259262</v>
      </c>
      <c r="Q1409" s="11"/>
      <c r="R1409" s="19"/>
      <c r="S1409" s="11"/>
      <c r="T1409" s="11"/>
      <c r="U1409" s="10" t="str">
        <f>HYPERLINK("https://pbs.twimg.com/profile_images/967745347496882176/wZdwaYVA.jpg","View")</f>
        <v>View</v>
      </c>
    </row>
    <row r="1410" spans="1:21" ht="40.799999999999997">
      <c r="A1410" s="6">
        <v>43425.909444444449</v>
      </c>
      <c r="B1410" s="7" t="str">
        <f>HYPERLINK("https://twitter.com/pedroatticus","@pedroatticus")</f>
        <v>@pedroatticus</v>
      </c>
      <c r="C1410" s="8" t="s">
        <v>6529</v>
      </c>
      <c r="D1410" s="9" t="s">
        <v>6530</v>
      </c>
      <c r="E1410" s="10" t="str">
        <f>HYPERLINK("https://twitter.com/pedroatticus/status/1065482410081599493","1065482410081599493")</f>
        <v>1065482410081599493</v>
      </c>
      <c r="F1410" s="14" t="s">
        <v>6531</v>
      </c>
      <c r="G1410" s="14" t="s">
        <v>6532</v>
      </c>
      <c r="H1410" s="11"/>
      <c r="I1410" s="12">
        <v>4</v>
      </c>
      <c r="J1410" s="12">
        <v>8</v>
      </c>
      <c r="K1410" s="13" t="str">
        <f>HYPERLINK("http://twitter.com/download/android","Twitter for Android")</f>
        <v>Twitter for Android</v>
      </c>
      <c r="L1410" s="12">
        <v>4165</v>
      </c>
      <c r="M1410" s="12">
        <v>2360</v>
      </c>
      <c r="N1410" s="12">
        <v>78</v>
      </c>
      <c r="O1410" s="15"/>
      <c r="P1410" s="6">
        <v>41773.411469907405</v>
      </c>
      <c r="Q1410" s="16" t="s">
        <v>1104</v>
      </c>
      <c r="R1410" s="17" t="s">
        <v>6533</v>
      </c>
      <c r="S1410" s="11"/>
      <c r="T1410" s="11"/>
      <c r="U1410" s="10" t="str">
        <f>HYPERLINK("https://pbs.twimg.com/profile_images/913865650094952450/UP1n7IaN.jpg","View")</f>
        <v>View</v>
      </c>
    </row>
    <row r="1411" spans="1:21" ht="30.6">
      <c r="A1411" s="6">
        <v>43425.902546296296</v>
      </c>
      <c r="B1411" s="7" t="str">
        <f>HYPERLINK("https://twitter.com/urog64","@urog64")</f>
        <v>@urog64</v>
      </c>
      <c r="C1411" s="8" t="s">
        <v>6534</v>
      </c>
      <c r="D1411" s="9" t="s">
        <v>6535</v>
      </c>
      <c r="E1411" s="10" t="str">
        <f>HYPERLINK("https://twitter.com/urog64/status/1065479907348758533","1065479907348758533")</f>
        <v>1065479907348758533</v>
      </c>
      <c r="F1411" s="14" t="s">
        <v>529</v>
      </c>
      <c r="G1411" s="11"/>
      <c r="H1411" s="11"/>
      <c r="I1411" s="12">
        <v>0</v>
      </c>
      <c r="J1411" s="12">
        <v>0</v>
      </c>
      <c r="K1411" s="13" t="str">
        <f t="shared" ref="K1411:K1412" si="292">HYPERLINK("http://twitter.com","Twitter Web Client")</f>
        <v>Twitter Web Client</v>
      </c>
      <c r="L1411" s="12">
        <v>41</v>
      </c>
      <c r="M1411" s="12">
        <v>100</v>
      </c>
      <c r="N1411" s="12">
        <v>0</v>
      </c>
      <c r="O1411" s="15"/>
      <c r="P1411" s="6">
        <v>41286.149351851855</v>
      </c>
      <c r="Q1411" s="11"/>
      <c r="R1411" s="17" t="s">
        <v>6536</v>
      </c>
      <c r="S1411" s="11"/>
      <c r="T1411" s="11"/>
      <c r="U1411" s="10" t="str">
        <f>HYPERLINK("https://pbs.twimg.com/profile_images/849199964718813184/HCK-NGfD.jpg","View")</f>
        <v>View</v>
      </c>
    </row>
    <row r="1412" spans="1:21" ht="30.6">
      <c r="A1412" s="6">
        <v>43425.900856481487</v>
      </c>
      <c r="B1412" s="7" t="str">
        <f>HYPERLINK("https://twitter.com/ramondeveciana","@ramondeveciana")</f>
        <v>@ramondeveciana</v>
      </c>
      <c r="C1412" s="8" t="s">
        <v>6537</v>
      </c>
      <c r="D1412" s="9" t="s">
        <v>6538</v>
      </c>
      <c r="E1412" s="10" t="str">
        <f>HYPERLINK("https://twitter.com/ramondeveciana/status/1065479296762949632","1065479296762949632")</f>
        <v>1065479296762949632</v>
      </c>
      <c r="F1412" s="14" t="s">
        <v>4200</v>
      </c>
      <c r="G1412" s="11"/>
      <c r="H1412" s="11"/>
      <c r="I1412" s="12">
        <v>3</v>
      </c>
      <c r="J1412" s="12">
        <v>2</v>
      </c>
      <c r="K1412" s="13" t="str">
        <f t="shared" si="292"/>
        <v>Twitter Web Client</v>
      </c>
      <c r="L1412" s="12">
        <v>7211</v>
      </c>
      <c r="M1412" s="12">
        <v>6337</v>
      </c>
      <c r="N1412" s="12">
        <v>177</v>
      </c>
      <c r="O1412" s="15"/>
      <c r="P1412" s="6">
        <v>40398.054722222223</v>
      </c>
      <c r="Q1412" s="16" t="s">
        <v>256</v>
      </c>
      <c r="R1412" s="17" t="s">
        <v>6539</v>
      </c>
      <c r="S1412" s="11"/>
      <c r="T1412" s="11"/>
      <c r="U1412" s="10" t="str">
        <f>HYPERLINK("https://pbs.twimg.com/profile_images/989589036477108226/zOdm_ezv.jpg","View")</f>
        <v>View</v>
      </c>
    </row>
    <row r="1413" spans="1:21" ht="30.6">
      <c r="A1413" s="6">
        <v>43425.891851851848</v>
      </c>
      <c r="B1413" s="7" t="str">
        <f>HYPERLINK("https://twitter.com/maxalvareztever","@maxalvareztever")</f>
        <v>@maxalvareztever</v>
      </c>
      <c r="C1413" s="8" t="s">
        <v>6540</v>
      </c>
      <c r="D1413" s="9" t="s">
        <v>6541</v>
      </c>
      <c r="E1413" s="10" t="str">
        <f>HYPERLINK("https://twitter.com/maxalvareztever/status/1065476033858715648","1065476033858715648")</f>
        <v>1065476033858715648</v>
      </c>
      <c r="F1413" s="14" t="s">
        <v>6218</v>
      </c>
      <c r="G1413" s="11"/>
      <c r="H1413" s="11"/>
      <c r="I1413" s="12">
        <v>0</v>
      </c>
      <c r="J1413" s="12">
        <v>0</v>
      </c>
      <c r="K1413" s="13" t="str">
        <f>HYPERLINK("http://www.facebook.com/twitter","Facebook")</f>
        <v>Facebook</v>
      </c>
      <c r="L1413" s="12">
        <v>949</v>
      </c>
      <c r="M1413" s="12">
        <v>1953</v>
      </c>
      <c r="N1413" s="12">
        <v>15</v>
      </c>
      <c r="O1413" s="15"/>
      <c r="P1413" s="6">
        <v>40562.500914351855</v>
      </c>
      <c r="Q1413" s="16" t="s">
        <v>6542</v>
      </c>
      <c r="R1413" s="17" t="s">
        <v>6543</v>
      </c>
      <c r="S1413" s="11"/>
      <c r="T1413" s="11"/>
      <c r="U1413" s="10" t="str">
        <f>HYPERLINK("https://pbs.twimg.com/profile_images/1713837472/DSC_0178-2.jpg","View")</f>
        <v>View</v>
      </c>
    </row>
    <row r="1414" spans="1:21" ht="40.799999999999997">
      <c r="A1414" s="6">
        <v>43425.876388888893</v>
      </c>
      <c r="B1414" s="7" t="str">
        <f>HYPERLINK("https://twitter.com/rafaeljcortes","@rafaeljcortes")</f>
        <v>@rafaeljcortes</v>
      </c>
      <c r="C1414" s="8" t="s">
        <v>3308</v>
      </c>
      <c r="D1414" s="9" t="s">
        <v>3309</v>
      </c>
      <c r="E1414" s="10" t="str">
        <f>HYPERLINK("https://twitter.com/rafaeljcortes/status/1065470428934807553","1065470428934807553")</f>
        <v>1065470428934807553</v>
      </c>
      <c r="F1414" s="11"/>
      <c r="G1414" s="14" t="s">
        <v>3310</v>
      </c>
      <c r="H1414" s="11"/>
      <c r="I1414" s="12">
        <v>0</v>
      </c>
      <c r="J1414" s="12">
        <v>0</v>
      </c>
      <c r="K1414" s="13" t="str">
        <f>HYPERLINK("https://ads-api.twitter.com","Twitter Ads Composer")</f>
        <v>Twitter Ads Composer</v>
      </c>
      <c r="L1414" s="12">
        <v>3165</v>
      </c>
      <c r="M1414" s="12">
        <v>4998</v>
      </c>
      <c r="N1414" s="12">
        <v>38</v>
      </c>
      <c r="O1414" s="15"/>
      <c r="P1414" s="6">
        <v>40487.751539351855</v>
      </c>
      <c r="Q1414" s="16" t="s">
        <v>2352</v>
      </c>
      <c r="R1414" s="17" t="s">
        <v>3313</v>
      </c>
      <c r="S1414" s="11"/>
      <c r="T1414" s="11"/>
      <c r="U1414" s="10" t="str">
        <f>HYPERLINK("https://pbs.twimg.com/profile_images/891193961158758400/7nGVxfEH.jpg","View")</f>
        <v>View</v>
      </c>
    </row>
    <row r="1415" spans="1:21" ht="51">
      <c r="A1415" s="6">
        <v>43425.876388888893</v>
      </c>
      <c r="B1415" s="7" t="str">
        <f>HYPERLINK("https://twitter.com/bitMomentum","@bitMomentum")</f>
        <v>@bitMomentum</v>
      </c>
      <c r="C1415" s="8" t="s">
        <v>1033</v>
      </c>
      <c r="D1415" s="9" t="s">
        <v>3315</v>
      </c>
      <c r="E1415" s="10" t="str">
        <f>HYPERLINK("https://twitter.com/bitMomentum/status/1065470428515352576","1065470428515352576")</f>
        <v>1065470428515352576</v>
      </c>
      <c r="F1415" s="11"/>
      <c r="G1415" s="11"/>
      <c r="H1415" s="11"/>
      <c r="I1415" s="12">
        <v>0</v>
      </c>
      <c r="J1415" s="12">
        <v>0</v>
      </c>
      <c r="K1415" s="13" t="str">
        <f>HYPERLINK("http://www.bitmomentum.com","bitMomentum Bot")</f>
        <v>bitMomentum Bot</v>
      </c>
      <c r="L1415" s="12">
        <v>10132</v>
      </c>
      <c r="M1415" s="12">
        <v>1060</v>
      </c>
      <c r="N1415" s="12">
        <v>267</v>
      </c>
      <c r="O1415" s="15"/>
      <c r="P1415" s="6">
        <v>41608.292511574073</v>
      </c>
      <c r="Q1415" s="11"/>
      <c r="R1415" s="17" t="s">
        <v>1038</v>
      </c>
      <c r="S1415" s="14" t="s">
        <v>1039</v>
      </c>
      <c r="T1415" s="11"/>
      <c r="U1415" s="10" t="str">
        <f>HYPERLINK("https://pbs.twimg.com/profile_images/378800000862185241/20ij2H3u.png","View")</f>
        <v>View</v>
      </c>
    </row>
    <row r="1416" spans="1:21" ht="40.799999999999997">
      <c r="A1416" s="6">
        <v>43425.875902777778</v>
      </c>
      <c r="B1416" s="7" t="str">
        <f>HYPERLINK("https://twitter.com/ccampdepadros","@ccampdepadros")</f>
        <v>@ccampdepadros</v>
      </c>
      <c r="C1416" s="8" t="s">
        <v>6544</v>
      </c>
      <c r="D1416" s="9" t="s">
        <v>6545</v>
      </c>
      <c r="E1416" s="10" t="str">
        <f>HYPERLINK("https://twitter.com/ccampdepadros/status/1065470252702666752","1065470252702666752")</f>
        <v>1065470252702666752</v>
      </c>
      <c r="F1416" s="11"/>
      <c r="G1416" s="11"/>
      <c r="H1416" s="11"/>
      <c r="I1416" s="12">
        <v>2</v>
      </c>
      <c r="J1416" s="12">
        <v>4</v>
      </c>
      <c r="K1416" s="13" t="str">
        <f>HYPERLINK("http://twitter.com/download/android","Twitter for Android")</f>
        <v>Twitter for Android</v>
      </c>
      <c r="L1416" s="12">
        <v>1221</v>
      </c>
      <c r="M1416" s="12">
        <v>2487</v>
      </c>
      <c r="N1416" s="12">
        <v>14</v>
      </c>
      <c r="O1416" s="15"/>
      <c r="P1416" s="6">
        <v>40840.100277777776</v>
      </c>
      <c r="Q1416" s="16" t="s">
        <v>28</v>
      </c>
      <c r="R1416" s="17" t="s">
        <v>6546</v>
      </c>
      <c r="S1416" s="11"/>
      <c r="T1416" s="11"/>
      <c r="U1416" s="10" t="str">
        <f>HYPERLINK("https://pbs.twimg.com/profile_images/1031606601294270464/QtLUf3dj.jpg","View")</f>
        <v>View</v>
      </c>
    </row>
    <row r="1417" spans="1:21" ht="51">
      <c r="A1417" s="6">
        <v>43425.875694444447</v>
      </c>
      <c r="B1417" s="7" t="str">
        <f>HYPERLINK("https://twitter.com/bitMomentum","@bitMomentum")</f>
        <v>@bitMomentum</v>
      </c>
      <c r="C1417" s="8" t="s">
        <v>1033</v>
      </c>
      <c r="D1417" s="9" t="s">
        <v>3320</v>
      </c>
      <c r="E1417" s="10" t="str">
        <f>HYPERLINK("https://twitter.com/bitMomentum/status/1065470176555081728","1065470176555081728")</f>
        <v>1065470176555081728</v>
      </c>
      <c r="F1417" s="11"/>
      <c r="G1417" s="11"/>
      <c r="H1417" s="11"/>
      <c r="I1417" s="12">
        <v>1</v>
      </c>
      <c r="J1417" s="12">
        <v>1</v>
      </c>
      <c r="K1417" s="13" t="str">
        <f>HYPERLINK("http://www.bitmomentum.com","bitMomentum Bot")</f>
        <v>bitMomentum Bot</v>
      </c>
      <c r="L1417" s="12">
        <v>10132</v>
      </c>
      <c r="M1417" s="12">
        <v>1060</v>
      </c>
      <c r="N1417" s="12">
        <v>267</v>
      </c>
      <c r="O1417" s="15"/>
      <c r="P1417" s="6">
        <v>41608.292511574073</v>
      </c>
      <c r="Q1417" s="11"/>
      <c r="R1417" s="17" t="s">
        <v>1038</v>
      </c>
      <c r="S1417" s="14" t="s">
        <v>1039</v>
      </c>
      <c r="T1417" s="11"/>
      <c r="U1417" s="10" t="str">
        <f>HYPERLINK("https://pbs.twimg.com/profile_images/378800000862185241/20ij2H3u.png","View")</f>
        <v>View</v>
      </c>
    </row>
    <row r="1418" spans="1:21" ht="20.399999999999999">
      <c r="A1418" s="6">
        <v>43425.8747337963</v>
      </c>
      <c r="B1418" s="7" t="str">
        <f>HYPERLINK("https://twitter.com/SLVallarta","@SLVallarta")</f>
        <v>@SLVallarta</v>
      </c>
      <c r="C1418" s="8" t="s">
        <v>6547</v>
      </c>
      <c r="D1418" s="9" t="s">
        <v>768</v>
      </c>
      <c r="E1418" s="10" t="str">
        <f>HYPERLINK("https://twitter.com/SLVallarta/status/1065469831464382464","1065469831464382464")</f>
        <v>1065469831464382464</v>
      </c>
      <c r="F1418" s="14" t="s">
        <v>529</v>
      </c>
      <c r="G1418" s="11"/>
      <c r="H1418" s="11"/>
      <c r="I1418" s="12">
        <v>0</v>
      </c>
      <c r="J1418" s="12">
        <v>0</v>
      </c>
      <c r="K1418" s="13" t="str">
        <f>HYPERLINK("http://twitter.com/download/android","Twitter for Android")</f>
        <v>Twitter for Android</v>
      </c>
      <c r="L1418" s="12">
        <v>232</v>
      </c>
      <c r="M1418" s="12">
        <v>172</v>
      </c>
      <c r="N1418" s="12">
        <v>9</v>
      </c>
      <c r="O1418" s="15"/>
      <c r="P1418" s="6">
        <v>40749.777685185181</v>
      </c>
      <c r="Q1418" s="16" t="s">
        <v>6548</v>
      </c>
      <c r="R1418" s="17" t="s">
        <v>6549</v>
      </c>
      <c r="S1418" s="11"/>
      <c r="T1418" s="11"/>
      <c r="U1418" s="10" t="str">
        <f>HYPERLINK("https://pbs.twimg.com/profile_images/1034571694214660096/6XHDYmub.jpg","View")</f>
        <v>View</v>
      </c>
    </row>
    <row r="1419" spans="1:21" ht="40.799999999999997">
      <c r="A1419" s="6">
        <v>43425.866689814815</v>
      </c>
      <c r="B1419" s="7" t="str">
        <f>HYPERLINK("https://twitter.com/raulconde","@raulconde")</f>
        <v>@raulconde</v>
      </c>
      <c r="C1419" s="8" t="s">
        <v>6550</v>
      </c>
      <c r="D1419" s="9" t="s">
        <v>6551</v>
      </c>
      <c r="E1419" s="10" t="str">
        <f>HYPERLINK("https://twitter.com/raulconde/status/1065466914464423938","1065466914464423938")</f>
        <v>1065466914464423938</v>
      </c>
      <c r="F1419" s="14" t="s">
        <v>1267</v>
      </c>
      <c r="G1419" s="14" t="s">
        <v>6552</v>
      </c>
      <c r="H1419" s="11"/>
      <c r="I1419" s="12">
        <v>0</v>
      </c>
      <c r="J1419" s="12">
        <v>0</v>
      </c>
      <c r="K1419" s="13" t="str">
        <f>HYPERLINK("http://twitter.com/download/iphone","Twitter for iPhone")</f>
        <v>Twitter for iPhone</v>
      </c>
      <c r="L1419" s="12">
        <v>784</v>
      </c>
      <c r="M1419" s="12">
        <v>426</v>
      </c>
      <c r="N1419" s="12">
        <v>18</v>
      </c>
      <c r="O1419" s="15"/>
      <c r="P1419" s="6">
        <v>39999.555428240739</v>
      </c>
      <c r="Q1419" s="16" t="s">
        <v>6553</v>
      </c>
      <c r="R1419" s="17" t="s">
        <v>6554</v>
      </c>
      <c r="S1419" s="14" t="s">
        <v>6555</v>
      </c>
      <c r="T1419" s="11"/>
      <c r="U1419" s="10" t="str">
        <f>HYPERLINK("https://pbs.twimg.com/profile_images/473192883848511488/P64CPTZk.jpeg","View")</f>
        <v>View</v>
      </c>
    </row>
    <row r="1420" spans="1:21" ht="40.799999999999997">
      <c r="A1420" s="6">
        <v>43425.859201388885</v>
      </c>
      <c r="B1420" s="7" t="str">
        <f>HYPERLINK("https://twitter.com/egarciagarcia","@egarciagarcia")</f>
        <v>@egarciagarcia</v>
      </c>
      <c r="C1420" s="8" t="s">
        <v>3321</v>
      </c>
      <c r="D1420" s="9" t="s">
        <v>3322</v>
      </c>
      <c r="E1420" s="10" t="str">
        <f>HYPERLINK("https://twitter.com/egarciagarcia/status/1065464199269240832","1065464199269240832")</f>
        <v>1065464199269240832</v>
      </c>
      <c r="F1420" s="14" t="s">
        <v>529</v>
      </c>
      <c r="G1420" s="11"/>
      <c r="H1420" s="11"/>
      <c r="I1420" s="12">
        <v>0</v>
      </c>
      <c r="J1420" s="12">
        <v>0</v>
      </c>
      <c r="K1420" s="13" t="str">
        <f t="shared" ref="K1420:K1421" si="293">HYPERLINK("http://twitter.com","Twitter Web Client")</f>
        <v>Twitter Web Client</v>
      </c>
      <c r="L1420" s="12">
        <v>1327</v>
      </c>
      <c r="M1420" s="12">
        <v>458</v>
      </c>
      <c r="N1420" s="12">
        <v>207</v>
      </c>
      <c r="O1420" s="15"/>
      <c r="P1420" s="6">
        <v>39882.085266203707</v>
      </c>
      <c r="Q1420" s="11"/>
      <c r="R1420" s="17" t="s">
        <v>3323</v>
      </c>
      <c r="S1420" s="14" t="s">
        <v>3324</v>
      </c>
      <c r="T1420" s="11"/>
      <c r="U1420" s="10" t="str">
        <f>HYPERLINK("https://pbs.twimg.com/profile_images/731149318946594817/o2xHvi70.jpg","View")</f>
        <v>View</v>
      </c>
    </row>
    <row r="1421" spans="1:21" ht="51">
      <c r="A1421" s="6">
        <v>43425.854386574079</v>
      </c>
      <c r="B1421" s="7" t="str">
        <f>HYPERLINK("https://twitter.com/bellhand","@bellhand")</f>
        <v>@bellhand</v>
      </c>
      <c r="C1421" s="8" t="s">
        <v>6556</v>
      </c>
      <c r="D1421" s="9" t="s">
        <v>6557</v>
      </c>
      <c r="E1421" s="10" t="str">
        <f>HYPERLINK("https://twitter.com/bellhand/status/1065462457399947265","1065462457399947265")</f>
        <v>1065462457399947265</v>
      </c>
      <c r="F1421" s="11"/>
      <c r="G1421" s="11"/>
      <c r="H1421" s="11"/>
      <c r="I1421" s="12">
        <v>0</v>
      </c>
      <c r="J1421" s="12">
        <v>0</v>
      </c>
      <c r="K1421" s="13" t="str">
        <f t="shared" si="293"/>
        <v>Twitter Web Client</v>
      </c>
      <c r="L1421" s="12">
        <v>6</v>
      </c>
      <c r="M1421" s="12">
        <v>28</v>
      </c>
      <c r="N1421" s="12">
        <v>1</v>
      </c>
      <c r="O1421" s="15"/>
      <c r="P1421" s="6">
        <v>42047.958148148144</v>
      </c>
      <c r="Q1421" s="16" t="s">
        <v>6558</v>
      </c>
      <c r="R1421" s="19"/>
      <c r="S1421" s="11"/>
      <c r="T1421" s="11"/>
      <c r="U1421" s="10" t="str">
        <f>HYPERLINK("https://pbs.twimg.com/profile_images/638974042670788608/LHBZ9VeX.jpg","View")</f>
        <v>View</v>
      </c>
    </row>
    <row r="1422" spans="1:21" ht="51">
      <c r="A1422" s="6">
        <v>43425.834027777775</v>
      </c>
      <c r="B1422" s="7" t="str">
        <f>HYPERLINK("https://twitter.com/bitMomentum","@bitMomentum")</f>
        <v>@bitMomentum</v>
      </c>
      <c r="C1422" s="8" t="s">
        <v>1033</v>
      </c>
      <c r="D1422" s="9" t="s">
        <v>3325</v>
      </c>
      <c r="E1422" s="10" t="str">
        <f>HYPERLINK("https://twitter.com/bitMomentum/status/1065455077270401025","1065455077270401025")</f>
        <v>1065455077270401025</v>
      </c>
      <c r="F1422" s="11"/>
      <c r="G1422" s="11"/>
      <c r="H1422" s="11"/>
      <c r="I1422" s="12">
        <v>0</v>
      </c>
      <c r="J1422" s="12">
        <v>0</v>
      </c>
      <c r="K1422" s="13" t="str">
        <f>HYPERLINK("http://www.bitmomentum.com","bitMomentum Bot")</f>
        <v>bitMomentum Bot</v>
      </c>
      <c r="L1422" s="12">
        <v>10132</v>
      </c>
      <c r="M1422" s="12">
        <v>1060</v>
      </c>
      <c r="N1422" s="12">
        <v>267</v>
      </c>
      <c r="O1422" s="15"/>
      <c r="P1422" s="6">
        <v>41608.292511574073</v>
      </c>
      <c r="Q1422" s="11"/>
      <c r="R1422" s="17" t="s">
        <v>1038</v>
      </c>
      <c r="S1422" s="14" t="s">
        <v>1039</v>
      </c>
      <c r="T1422" s="11"/>
      <c r="U1422" s="10" t="str">
        <f>HYPERLINK("https://pbs.twimg.com/profile_images/378800000862185241/20ij2H3u.png","View")</f>
        <v>View</v>
      </c>
    </row>
    <row r="1423" spans="1:21" ht="40.799999999999997">
      <c r="A1423" s="6">
        <v>43425.833402777775</v>
      </c>
      <c r="B1423" s="7" t="str">
        <f>HYPERLINK("https://twitter.com/Cambio16","@Cambio16")</f>
        <v>@Cambio16</v>
      </c>
      <c r="C1423" s="8" t="s">
        <v>1563</v>
      </c>
      <c r="D1423" s="9" t="s">
        <v>3330</v>
      </c>
      <c r="E1423" s="10" t="str">
        <f>HYPERLINK("https://twitter.com/Cambio16/status/1065454853575593985","1065454853575593985")</f>
        <v>1065454853575593985</v>
      </c>
      <c r="F1423" s="11"/>
      <c r="G1423" s="14" t="s">
        <v>3332</v>
      </c>
      <c r="H1423" s="11"/>
      <c r="I1423" s="12">
        <v>1</v>
      </c>
      <c r="J1423" s="12">
        <v>1</v>
      </c>
      <c r="K1423" s="13" t="str">
        <f>HYPERLINK("https://www.hootsuite.com","Hootsuite Inc.")</f>
        <v>Hootsuite Inc.</v>
      </c>
      <c r="L1423" s="12">
        <v>17345</v>
      </c>
      <c r="M1423" s="12">
        <v>765</v>
      </c>
      <c r="N1423" s="12">
        <v>499</v>
      </c>
      <c r="O1423" s="15"/>
      <c r="P1423" s="6">
        <v>40341.117245370369</v>
      </c>
      <c r="Q1423" s="16" t="s">
        <v>93</v>
      </c>
      <c r="R1423" s="17" t="s">
        <v>1570</v>
      </c>
      <c r="S1423" s="14" t="s">
        <v>1571</v>
      </c>
      <c r="T1423" s="11"/>
      <c r="U1423" s="10" t="str">
        <f>HYPERLINK("https://pbs.twimg.com/profile_images/1060221846208069632/vJfJ3_T5.jpg","View")</f>
        <v>View</v>
      </c>
    </row>
    <row r="1424" spans="1:21" ht="30.6">
      <c r="A1424" s="6">
        <v>43425.828750000001</v>
      </c>
      <c r="B1424" s="7" t="str">
        <f>HYPERLINK("https://twitter.com/PabloLoaizaB","@PabloLoaizaB")</f>
        <v>@PabloLoaizaB</v>
      </c>
      <c r="C1424" s="8" t="s">
        <v>6559</v>
      </c>
      <c r="D1424" s="9" t="s">
        <v>6560</v>
      </c>
      <c r="E1424" s="10" t="str">
        <f>HYPERLINK("https://twitter.com/PabloLoaizaB/status/1065453166412615680","1065453166412615680")</f>
        <v>1065453166412615680</v>
      </c>
      <c r="F1424" s="14" t="s">
        <v>1267</v>
      </c>
      <c r="G1424" s="14" t="s">
        <v>6561</v>
      </c>
      <c r="H1424" s="11"/>
      <c r="I1424" s="12">
        <v>0</v>
      </c>
      <c r="J1424" s="12">
        <v>0</v>
      </c>
      <c r="K1424" s="13" t="str">
        <f>HYPERLINK("http://twitter.com/download/iphone","Twitter for iPhone")</f>
        <v>Twitter for iPhone</v>
      </c>
      <c r="L1424" s="12">
        <v>3468</v>
      </c>
      <c r="M1424" s="12">
        <v>709</v>
      </c>
      <c r="N1424" s="12">
        <v>27</v>
      </c>
      <c r="O1424" s="15"/>
      <c r="P1424" s="6">
        <v>40059.738125000003</v>
      </c>
      <c r="Q1424" s="16" t="s">
        <v>6562</v>
      </c>
      <c r="R1424" s="17" t="s">
        <v>6563</v>
      </c>
      <c r="S1424" s="14" t="s">
        <v>6564</v>
      </c>
      <c r="T1424" s="11"/>
      <c r="U1424" s="10" t="str">
        <f>HYPERLINK("https://pbs.twimg.com/profile_images/714885718431150080/j-mKKeqw.jpg","View")</f>
        <v>View</v>
      </c>
    </row>
    <row r="1425" spans="1:21" ht="30.6">
      <c r="A1425" s="6">
        <v>43425.822858796295</v>
      </c>
      <c r="B1425" s="7" t="str">
        <f>HYPERLINK("https://twitter.com/PBMarbeMalaga","@PBMarbeMalaga")</f>
        <v>@PBMarbeMalaga</v>
      </c>
      <c r="C1425" s="8" t="s">
        <v>3898</v>
      </c>
      <c r="D1425" s="9" t="s">
        <v>6565</v>
      </c>
      <c r="E1425" s="10" t="str">
        <f>HYPERLINK("https://twitter.com/PBMarbeMalaga/status/1065451032422088705","1065451032422088705")</f>
        <v>1065451032422088705</v>
      </c>
      <c r="F1425" s="14" t="s">
        <v>6566</v>
      </c>
      <c r="G1425" s="11"/>
      <c r="H1425" s="11"/>
      <c r="I1425" s="12">
        <v>0</v>
      </c>
      <c r="J1425" s="12">
        <v>0</v>
      </c>
      <c r="K1425" s="13" t="str">
        <f>HYPERLINK("https://javitang.ddns.net","PBMarbeMalaga")</f>
        <v>PBMarbeMalaga</v>
      </c>
      <c r="L1425" s="12">
        <v>1222</v>
      </c>
      <c r="M1425" s="12">
        <v>1245</v>
      </c>
      <c r="N1425" s="12">
        <v>2</v>
      </c>
      <c r="O1425" s="15"/>
      <c r="P1425" s="6">
        <v>43149.439074074078</v>
      </c>
      <c r="Q1425" s="16" t="s">
        <v>3899</v>
      </c>
      <c r="R1425" s="17" t="s">
        <v>3900</v>
      </c>
      <c r="S1425" s="11"/>
      <c r="T1425" s="11"/>
      <c r="U1425" s="10" t="str">
        <f>HYPERLINK("https://pbs.twimg.com/profile_images/965296691145531392/sAFnfUu2.jpg","View")</f>
        <v>View</v>
      </c>
    </row>
    <row r="1426" spans="1:21" ht="51">
      <c r="A1426" s="6">
        <v>43425.806828703702</v>
      </c>
      <c r="B1426" s="7" t="str">
        <f>HYPERLINK("https://twitter.com/pasiego7","@pasiego7")</f>
        <v>@pasiego7</v>
      </c>
      <c r="C1426" s="8" t="s">
        <v>3335</v>
      </c>
      <c r="D1426" s="9" t="s">
        <v>3336</v>
      </c>
      <c r="E1426" s="10" t="str">
        <f>HYPERLINK("https://twitter.com/pasiego7/status/1065445220135821312","1065445220135821312")</f>
        <v>1065445220135821312</v>
      </c>
      <c r="F1426" s="14" t="s">
        <v>3339</v>
      </c>
      <c r="G1426" s="11"/>
      <c r="H1426" s="11"/>
      <c r="I1426" s="12">
        <v>0</v>
      </c>
      <c r="J1426" s="12">
        <v>0</v>
      </c>
      <c r="K1426" s="13" t="str">
        <f>HYPERLINK("http://twitter.com/download/android","Twitter for Android")</f>
        <v>Twitter for Android</v>
      </c>
      <c r="L1426" s="12">
        <v>11</v>
      </c>
      <c r="M1426" s="12">
        <v>43</v>
      </c>
      <c r="N1426" s="12">
        <v>0</v>
      </c>
      <c r="O1426" s="15"/>
      <c r="P1426" s="6">
        <v>42004.682523148149</v>
      </c>
      <c r="Q1426" s="11"/>
      <c r="R1426" s="19"/>
      <c r="S1426" s="11"/>
      <c r="T1426" s="11"/>
      <c r="U1426" s="18" t="s">
        <v>168</v>
      </c>
    </row>
    <row r="1427" spans="1:21" ht="71.400000000000006">
      <c r="A1427" s="6">
        <v>43425.806284722217</v>
      </c>
      <c r="B1427" s="7" t="str">
        <f>HYPERLINK("https://twitter.com/almendramostaza","@almendramostaza")</f>
        <v>@almendramostaza</v>
      </c>
      <c r="C1427" s="8" t="s">
        <v>3340</v>
      </c>
      <c r="D1427" s="9" t="s">
        <v>3341</v>
      </c>
      <c r="E1427" s="10" t="str">
        <f>HYPERLINK("https://twitter.com/almendramostaza/status/1065445023867654144","1065445023867654144")</f>
        <v>1065445023867654144</v>
      </c>
      <c r="F1427" s="14" t="s">
        <v>3342</v>
      </c>
      <c r="G1427" s="11"/>
      <c r="H1427" s="11"/>
      <c r="I1427" s="12">
        <v>0</v>
      </c>
      <c r="J1427" s="12">
        <v>2</v>
      </c>
      <c r="K1427" s="13" t="str">
        <f t="shared" ref="K1427:K1428" si="294">HYPERLINK("http://twitter.com","Twitter Web Client")</f>
        <v>Twitter Web Client</v>
      </c>
      <c r="L1427" s="12">
        <v>4473</v>
      </c>
      <c r="M1427" s="12">
        <v>4253</v>
      </c>
      <c r="N1427" s="12">
        <v>56</v>
      </c>
      <c r="O1427" s="15"/>
      <c r="P1427" s="6">
        <v>40214.830266203702</v>
      </c>
      <c r="Q1427" s="16" t="s">
        <v>620</v>
      </c>
      <c r="R1427" s="17" t="s">
        <v>3343</v>
      </c>
      <c r="S1427" s="11"/>
      <c r="T1427" s="11"/>
      <c r="U1427" s="10" t="str">
        <f>HYPERLINK("https://pbs.twimg.com/profile_images/575454043268481025/7VDSKif8.jpeg","View")</f>
        <v>View</v>
      </c>
    </row>
    <row r="1428" spans="1:21" ht="20.399999999999999">
      <c r="A1428" s="6">
        <v>43425.800173611111</v>
      </c>
      <c r="B1428" s="7" t="str">
        <f>HYPERLINK("https://twitter.com/ExAyatollah","@ExAyatollah")</f>
        <v>@ExAyatollah</v>
      </c>
      <c r="C1428" s="8" t="s">
        <v>6567</v>
      </c>
      <c r="D1428" s="9" t="s">
        <v>6568</v>
      </c>
      <c r="E1428" s="10" t="str">
        <f>HYPERLINK("https://twitter.com/ExAyatollah/status/1065442810617360384","1065442810617360384")</f>
        <v>1065442810617360384</v>
      </c>
      <c r="F1428" s="11"/>
      <c r="G1428" s="11"/>
      <c r="H1428" s="11"/>
      <c r="I1428" s="12">
        <v>0</v>
      </c>
      <c r="J1428" s="12">
        <v>14</v>
      </c>
      <c r="K1428" s="13" t="str">
        <f t="shared" si="294"/>
        <v>Twitter Web Client</v>
      </c>
      <c r="L1428" s="12">
        <v>2108</v>
      </c>
      <c r="M1428" s="12">
        <v>208</v>
      </c>
      <c r="N1428" s="12">
        <v>58</v>
      </c>
      <c r="O1428" s="15"/>
      <c r="P1428" s="6">
        <v>40276.941736111112</v>
      </c>
      <c r="Q1428" s="11"/>
      <c r="R1428" s="17" t="s">
        <v>6569</v>
      </c>
      <c r="S1428" s="11"/>
      <c r="T1428" s="11"/>
      <c r="U1428" s="10" t="str">
        <f>HYPERLINK("https://pbs.twimg.com/profile_images/1684656241/mayobea.jpg","View")</f>
        <v>View</v>
      </c>
    </row>
    <row r="1429" spans="1:21" ht="51">
      <c r="A1429" s="6">
        <v>43425.792361111111</v>
      </c>
      <c r="B1429" s="7" t="str">
        <f>HYPERLINK("https://twitter.com/bitMomentum","@bitMomentum")</f>
        <v>@bitMomentum</v>
      </c>
      <c r="C1429" s="8" t="s">
        <v>1033</v>
      </c>
      <c r="D1429" s="9" t="s">
        <v>3344</v>
      </c>
      <c r="E1429" s="10" t="str">
        <f>HYPERLINK("https://twitter.com/bitMomentum/status/1065439980292620289","1065439980292620289")</f>
        <v>1065439980292620289</v>
      </c>
      <c r="F1429" s="11"/>
      <c r="G1429" s="11"/>
      <c r="H1429" s="11"/>
      <c r="I1429" s="12">
        <v>0</v>
      </c>
      <c r="J1429" s="12">
        <v>0</v>
      </c>
      <c r="K1429" s="13" t="str">
        <f>HYPERLINK("http://www.bitmomentum.com","bitMomentum Bot")</f>
        <v>bitMomentum Bot</v>
      </c>
      <c r="L1429" s="12">
        <v>10132</v>
      </c>
      <c r="M1429" s="12">
        <v>1060</v>
      </c>
      <c r="N1429" s="12">
        <v>267</v>
      </c>
      <c r="O1429" s="15"/>
      <c r="P1429" s="6">
        <v>41608.292511574073</v>
      </c>
      <c r="Q1429" s="11"/>
      <c r="R1429" s="17" t="s">
        <v>1038</v>
      </c>
      <c r="S1429" s="14" t="s">
        <v>1039</v>
      </c>
      <c r="T1429" s="11"/>
      <c r="U1429" s="10" t="str">
        <f>HYPERLINK("https://pbs.twimg.com/profile_images/378800000862185241/20ij2H3u.png","View")</f>
        <v>View</v>
      </c>
    </row>
    <row r="1430" spans="1:21" ht="30.6">
      <c r="A1430" s="6">
        <v>43425.783796296295</v>
      </c>
      <c r="B1430" s="7" t="str">
        <f>HYPERLINK("https://twitter.com/Emilio_Diaz86","@Emilio_Diaz86")</f>
        <v>@Emilio_Diaz86</v>
      </c>
      <c r="C1430" s="8" t="s">
        <v>6570</v>
      </c>
      <c r="D1430" s="9" t="s">
        <v>6571</v>
      </c>
      <c r="E1430" s="10" t="str">
        <f>HYPERLINK("https://twitter.com/Emilio_Diaz86/status/1065436874922180608","1065436874922180608")</f>
        <v>1065436874922180608</v>
      </c>
      <c r="F1430" s="16" t="s">
        <v>6572</v>
      </c>
      <c r="G1430" s="11"/>
      <c r="H1430" s="11"/>
      <c r="I1430" s="12">
        <v>0</v>
      </c>
      <c r="J1430" s="12">
        <v>0</v>
      </c>
      <c r="K1430" s="13" t="str">
        <f>HYPERLINK("http://twitter.com/download/android","Twitter for Android")</f>
        <v>Twitter for Android</v>
      </c>
      <c r="L1430" s="12">
        <v>312</v>
      </c>
      <c r="M1430" s="12">
        <v>526</v>
      </c>
      <c r="N1430" s="12">
        <v>11</v>
      </c>
      <c r="O1430" s="15"/>
      <c r="P1430" s="6">
        <v>41841.660810185189</v>
      </c>
      <c r="Q1430" s="16" t="s">
        <v>901</v>
      </c>
      <c r="R1430" s="17" t="s">
        <v>6573</v>
      </c>
      <c r="S1430" s="11"/>
      <c r="T1430" s="11"/>
      <c r="U1430" s="10" t="str">
        <f>HYPERLINK("https://pbs.twimg.com/profile_images/560995785270366209/AQgDOZk8.jpeg","View")</f>
        <v>View</v>
      </c>
    </row>
    <row r="1431" spans="1:21" ht="81.599999999999994">
      <c r="A1431" s="6">
        <v>43425.777129629627</v>
      </c>
      <c r="B1431" s="7" t="str">
        <f>HYPERLINK("https://twitter.com/Aeroapollardao","@Aeroapollardao")</f>
        <v>@Aeroapollardao</v>
      </c>
      <c r="C1431" s="8" t="s">
        <v>3348</v>
      </c>
      <c r="D1431" s="9" t="s">
        <v>3349</v>
      </c>
      <c r="E1431" s="10" t="str">
        <f>HYPERLINK("https://twitter.com/Aeroapollardao/status/1065434460206874624","1065434460206874624")</f>
        <v>1065434460206874624</v>
      </c>
      <c r="F1431" s="14" t="s">
        <v>3353</v>
      </c>
      <c r="G1431" s="14" t="s">
        <v>3354</v>
      </c>
      <c r="H1431" s="11"/>
      <c r="I1431" s="12">
        <v>0</v>
      </c>
      <c r="J1431" s="12">
        <v>2</v>
      </c>
      <c r="K1431" s="13" t="str">
        <f t="shared" ref="K1431:K1432" si="295">HYPERLINK("http://twitter.com","Twitter Web Client")</f>
        <v>Twitter Web Client</v>
      </c>
      <c r="L1431" s="12">
        <v>565</v>
      </c>
      <c r="M1431" s="12">
        <v>509</v>
      </c>
      <c r="N1431" s="12">
        <v>20</v>
      </c>
      <c r="O1431" s="15"/>
      <c r="P1431" s="6">
        <v>41007.610196759255</v>
      </c>
      <c r="Q1431" s="16" t="s">
        <v>3355</v>
      </c>
      <c r="R1431" s="17" t="s">
        <v>3356</v>
      </c>
      <c r="S1431" s="14" t="s">
        <v>3357</v>
      </c>
      <c r="T1431" s="11"/>
      <c r="U1431" s="10" t="str">
        <f>HYPERLINK("https://pbs.twimg.com/profile_images/1038604787636301825/eviSj7qz.jpg","View")</f>
        <v>View</v>
      </c>
    </row>
    <row r="1432" spans="1:21" ht="40.799999999999997">
      <c r="A1432" s="6">
        <v>43425.767060185186</v>
      </c>
      <c r="B1432" s="7" t="str">
        <f>HYPERLINK("https://twitter.com/LfilodelabrechA","@LfilodelabrechA")</f>
        <v>@LfilodelabrechA</v>
      </c>
      <c r="C1432" s="8" t="s">
        <v>6574</v>
      </c>
      <c r="D1432" s="9" t="s">
        <v>6575</v>
      </c>
      <c r="E1432" s="10" t="str">
        <f>HYPERLINK("https://twitter.com/LfilodelabrechA/status/1065430810784870401","1065430810784870401")</f>
        <v>1065430810784870401</v>
      </c>
      <c r="F1432" s="14" t="s">
        <v>1267</v>
      </c>
      <c r="G1432" s="14" t="s">
        <v>6576</v>
      </c>
      <c r="H1432" s="11"/>
      <c r="I1432" s="12">
        <v>0</v>
      </c>
      <c r="J1432" s="12">
        <v>0</v>
      </c>
      <c r="K1432" s="13" t="str">
        <f t="shared" si="295"/>
        <v>Twitter Web Client</v>
      </c>
      <c r="L1432" s="12">
        <v>21281</v>
      </c>
      <c r="M1432" s="12">
        <v>16077</v>
      </c>
      <c r="N1432" s="12">
        <v>155</v>
      </c>
      <c r="O1432" s="15"/>
      <c r="P1432" s="6">
        <v>41994.814953703702</v>
      </c>
      <c r="Q1432" s="16" t="s">
        <v>6577</v>
      </c>
      <c r="R1432" s="17" t="s">
        <v>6578</v>
      </c>
      <c r="S1432" s="14" t="s">
        <v>6579</v>
      </c>
      <c r="T1432" s="11"/>
      <c r="U1432" s="10" t="str">
        <f>HYPERLINK("https://pbs.twimg.com/profile_images/1015231495512915968/1SaMhOsw.jpg","View")</f>
        <v>View</v>
      </c>
    </row>
    <row r="1433" spans="1:21" ht="20.399999999999999">
      <c r="A1433" s="6">
        <v>43425.759664351848</v>
      </c>
      <c r="B1433" s="7" t="str">
        <f>HYPERLINK("https://twitter.com/chelodesourigue","@chelodesourigue")</f>
        <v>@chelodesourigue</v>
      </c>
      <c r="C1433" s="8" t="s">
        <v>6580</v>
      </c>
      <c r="D1433" s="9" t="s">
        <v>6581</v>
      </c>
      <c r="E1433" s="10" t="str">
        <f>HYPERLINK("https://twitter.com/chelodesourigue/status/1065428129739624449","1065428129739624449")</f>
        <v>1065428129739624449</v>
      </c>
      <c r="F1433" s="14" t="s">
        <v>6582</v>
      </c>
      <c r="G1433" s="11"/>
      <c r="H1433" s="11"/>
      <c r="I1433" s="12">
        <v>0</v>
      </c>
      <c r="J1433" s="12">
        <v>0</v>
      </c>
      <c r="K1433" s="13" t="str">
        <f>HYPERLINK("http://www.facebook.com/twitter","Facebook")</f>
        <v>Facebook</v>
      </c>
      <c r="L1433" s="12">
        <v>44</v>
      </c>
      <c r="M1433" s="12">
        <v>457</v>
      </c>
      <c r="N1433" s="12">
        <v>0</v>
      </c>
      <c r="O1433" s="15"/>
      <c r="P1433" s="6">
        <v>42201.472627314812</v>
      </c>
      <c r="Q1433" s="11"/>
      <c r="R1433" s="19"/>
      <c r="S1433" s="14" t="s">
        <v>6583</v>
      </c>
      <c r="T1433" s="11"/>
      <c r="U1433" s="10" t="str">
        <f>HYPERLINK("https://pbs.twimg.com/profile_images/881374531520274433/tKPuK6GI.jpg","View")</f>
        <v>View</v>
      </c>
    </row>
    <row r="1434" spans="1:21" ht="20.399999999999999">
      <c r="A1434" s="6">
        <v>43425.753599537042</v>
      </c>
      <c r="B1434" s="7" t="str">
        <f>HYPERLINK("https://twitter.com/____Gipsy____","@____Gipsy____")</f>
        <v>@____Gipsy____</v>
      </c>
      <c r="C1434" s="8" t="s">
        <v>2671</v>
      </c>
      <c r="D1434" s="9" t="s">
        <v>2672</v>
      </c>
      <c r="E1434" s="10" t="str">
        <f>HYPERLINK("https://twitter.com/____Gipsy____/status/1065425933325221888","1065425933325221888")</f>
        <v>1065425933325221888</v>
      </c>
      <c r="F1434" s="14" t="s">
        <v>2675</v>
      </c>
      <c r="G1434" s="11"/>
      <c r="H1434" s="11"/>
      <c r="I1434" s="12">
        <v>0</v>
      </c>
      <c r="J1434" s="12">
        <v>0</v>
      </c>
      <c r="K1434" s="13" t="str">
        <f>HYPERLINK("https://buffer.com","Buffer")</f>
        <v>Buffer</v>
      </c>
      <c r="L1434" s="12">
        <v>145</v>
      </c>
      <c r="M1434" s="12">
        <v>975</v>
      </c>
      <c r="N1434" s="12">
        <v>0</v>
      </c>
      <c r="O1434" s="15"/>
      <c r="P1434" s="6">
        <v>43341.253252314811</v>
      </c>
      <c r="Q1434" s="11"/>
      <c r="R1434" s="17" t="s">
        <v>2676</v>
      </c>
      <c r="S1434" s="11"/>
      <c r="T1434" s="11"/>
      <c r="U1434" s="10" t="str">
        <f>HYPERLINK("https://pbs.twimg.com/profile_images/1034789754791976960/dNNStVf-.jpg","View")</f>
        <v>View</v>
      </c>
    </row>
    <row r="1435" spans="1:21" ht="40.799999999999997">
      <c r="A1435" s="6">
        <v>43425.726145833338</v>
      </c>
      <c r="B1435" s="7" t="str">
        <f>HYPERLINK("https://twitter.com/PatriotaNene","@PatriotaNene")</f>
        <v>@PatriotaNene</v>
      </c>
      <c r="C1435" s="8" t="s">
        <v>6584</v>
      </c>
      <c r="D1435" s="9" t="s">
        <v>6585</v>
      </c>
      <c r="E1435" s="10" t="str">
        <f>HYPERLINK("https://twitter.com/PatriotaNene/status/1065415981466570757","1065415981466570757")</f>
        <v>1065415981466570757</v>
      </c>
      <c r="F1435" s="14" t="s">
        <v>6586</v>
      </c>
      <c r="G1435" s="11"/>
      <c r="H1435" s="11"/>
      <c r="I1435" s="12">
        <v>4</v>
      </c>
      <c r="J1435" s="12">
        <v>5</v>
      </c>
      <c r="K1435" s="13" t="str">
        <f>HYPERLINK("http://twitter.com","Twitter Web Client")</f>
        <v>Twitter Web Client</v>
      </c>
      <c r="L1435" s="12">
        <v>8281</v>
      </c>
      <c r="M1435" s="12">
        <v>1965</v>
      </c>
      <c r="N1435" s="12">
        <v>50</v>
      </c>
      <c r="O1435" s="15"/>
      <c r="P1435" s="6">
        <v>42412.792222222226</v>
      </c>
      <c r="Q1435" s="16" t="s">
        <v>6587</v>
      </c>
      <c r="R1435" s="17" t="s">
        <v>6588</v>
      </c>
      <c r="S1435" s="11"/>
      <c r="T1435" s="11"/>
      <c r="U1435" s="10" t="str">
        <f>HYPERLINK("https://pbs.twimg.com/profile_images/984160089396441089/jXDkkxlk.jpg","View")</f>
        <v>View</v>
      </c>
    </row>
    <row r="1436" spans="1:21" ht="13.2">
      <c r="A1436" s="6">
        <v>43425.725949074069</v>
      </c>
      <c r="B1436" s="7" t="str">
        <f>HYPERLINK("https://twitter.com/PatoAKD86","@PatoAKD86")</f>
        <v>@PatoAKD86</v>
      </c>
      <c r="C1436" s="8" t="s">
        <v>5690</v>
      </c>
      <c r="D1436" s="9" t="s">
        <v>6589</v>
      </c>
      <c r="E1436" s="10" t="str">
        <f>HYPERLINK("https://twitter.com/PatoAKD86/status/1065415913128845313","1065415913128845313")</f>
        <v>1065415913128845313</v>
      </c>
      <c r="F1436" s="14" t="s">
        <v>5692</v>
      </c>
      <c r="G1436" s="11"/>
      <c r="H1436" s="11"/>
      <c r="I1436" s="12">
        <v>0</v>
      </c>
      <c r="J1436" s="12">
        <v>0</v>
      </c>
      <c r="K1436" s="13" t="str">
        <f>HYPERLINK("http://twitter.com/download/android","Twitter for Android")</f>
        <v>Twitter for Android</v>
      </c>
      <c r="L1436" s="12">
        <v>260</v>
      </c>
      <c r="M1436" s="12">
        <v>402</v>
      </c>
      <c r="N1436" s="12">
        <v>4</v>
      </c>
      <c r="O1436" s="15"/>
      <c r="P1436" s="6">
        <v>41267.968425925923</v>
      </c>
      <c r="Q1436" s="16" t="s">
        <v>5693</v>
      </c>
      <c r="R1436" s="17" t="s">
        <v>5694</v>
      </c>
      <c r="S1436" s="11"/>
      <c r="T1436" s="11"/>
      <c r="U1436" s="10" t="str">
        <f>HYPERLINK("https://pbs.twimg.com/profile_images/378800000147332495/dc59f14979b73cf6237d86e04fdde4b9.jpeg","View")</f>
        <v>View</v>
      </c>
    </row>
    <row r="1437" spans="1:21" ht="30.6">
      <c r="A1437" s="6">
        <v>43425.725081018521</v>
      </c>
      <c r="B1437" s="7" t="str">
        <f>HYPERLINK("https://twitter.com/CdV_Canarias","@CdV_Canarias")</f>
        <v>@CdV_Canarias</v>
      </c>
      <c r="C1437" s="8" t="s">
        <v>6590</v>
      </c>
      <c r="D1437" s="9" t="s">
        <v>6591</v>
      </c>
      <c r="E1437" s="10" t="str">
        <f>HYPERLINK("https://twitter.com/CdV_Canarias/status/1065415597675159552","1065415597675159552")</f>
        <v>1065415597675159552</v>
      </c>
      <c r="F1437" s="11"/>
      <c r="G1437" s="11"/>
      <c r="H1437" s="11"/>
      <c r="I1437" s="12">
        <v>0</v>
      </c>
      <c r="J1437" s="12">
        <v>0</v>
      </c>
      <c r="K1437" s="13" t="str">
        <f>HYPERLINK("https://metricool.com","Metricool")</f>
        <v>Metricool</v>
      </c>
      <c r="L1437" s="12">
        <v>1549</v>
      </c>
      <c r="M1437" s="12">
        <v>745</v>
      </c>
      <c r="N1437" s="12">
        <v>38</v>
      </c>
      <c r="O1437" s="15"/>
      <c r="P1437" s="6">
        <v>42375.101157407407</v>
      </c>
      <c r="Q1437" s="16" t="s">
        <v>5633</v>
      </c>
      <c r="R1437" s="17" t="s">
        <v>6592</v>
      </c>
      <c r="S1437" s="14" t="s">
        <v>6593</v>
      </c>
      <c r="T1437" s="11"/>
      <c r="U1437" s="10" t="str">
        <f>HYPERLINK("https://pbs.twimg.com/profile_images/684682644592930816/ZMtrzGpI.jpg","View")</f>
        <v>View</v>
      </c>
    </row>
    <row r="1438" spans="1:21" ht="30.6">
      <c r="A1438" s="6">
        <v>43425.718530092592</v>
      </c>
      <c r="B1438" s="7" t="str">
        <f>HYPERLINK("https://twitter.com/AndresVS","@AndresVS")</f>
        <v>@AndresVS</v>
      </c>
      <c r="C1438" s="8" t="s">
        <v>4040</v>
      </c>
      <c r="D1438" s="9" t="s">
        <v>6594</v>
      </c>
      <c r="E1438" s="10" t="str">
        <f>HYPERLINK("https://twitter.com/AndresVS/status/1065413222235291648","1065413222235291648")</f>
        <v>1065413222235291648</v>
      </c>
      <c r="F1438" s="11"/>
      <c r="G1438" s="11"/>
      <c r="H1438" s="11"/>
      <c r="I1438" s="12">
        <v>0</v>
      </c>
      <c r="J1438" s="12">
        <v>0</v>
      </c>
      <c r="K1438" s="13" t="str">
        <f>HYPERLINK("http://twitter.com/download/android","Twitter for Android")</f>
        <v>Twitter for Android</v>
      </c>
      <c r="L1438" s="12">
        <v>2749</v>
      </c>
      <c r="M1438" s="12">
        <v>655</v>
      </c>
      <c r="N1438" s="12">
        <v>59</v>
      </c>
      <c r="O1438" s="15"/>
      <c r="P1438" s="6">
        <v>39530.483402777776</v>
      </c>
      <c r="Q1438" s="16" t="s">
        <v>6359</v>
      </c>
      <c r="R1438" s="17" t="s">
        <v>6595</v>
      </c>
      <c r="S1438" s="14" t="s">
        <v>6596</v>
      </c>
      <c r="T1438" s="11"/>
      <c r="U1438" s="10" t="str">
        <f>HYPERLINK("https://pbs.twimg.com/profile_images/1062342771888005120/YxhUS-uH.jpg","View")</f>
        <v>View</v>
      </c>
    </row>
    <row r="1439" spans="1:21" ht="30.6">
      <c r="A1439" s="6">
        <v>43425.717523148152</v>
      </c>
      <c r="B1439" s="7" t="str">
        <f t="shared" ref="B1439:B1441" si="296">HYPERLINK("https://twitter.com/RetogenesC","@RetogenesC")</f>
        <v>@RetogenesC</v>
      </c>
      <c r="C1439" s="8" t="s">
        <v>6597</v>
      </c>
      <c r="D1439" s="9" t="s">
        <v>6598</v>
      </c>
      <c r="E1439" s="10" t="str">
        <f>HYPERLINK("https://twitter.com/RetogenesC/status/1065412860107522048","1065412860107522048")</f>
        <v>1065412860107522048</v>
      </c>
      <c r="F1439" s="14" t="s">
        <v>6599</v>
      </c>
      <c r="G1439" s="11"/>
      <c r="H1439" s="11"/>
      <c r="I1439" s="12">
        <v>2</v>
      </c>
      <c r="J1439" s="12">
        <v>1</v>
      </c>
      <c r="K1439" s="13" t="str">
        <f t="shared" ref="K1439:K1441" si="297">HYPERLINK("http://twitter.com","Twitter Web Client")</f>
        <v>Twitter Web Client</v>
      </c>
      <c r="L1439" s="12">
        <v>505</v>
      </c>
      <c r="M1439" s="12">
        <v>785</v>
      </c>
      <c r="N1439" s="12">
        <v>1</v>
      </c>
      <c r="O1439" s="15"/>
      <c r="P1439" s="6">
        <v>43402.578657407408</v>
      </c>
      <c r="Q1439" s="16" t="s">
        <v>6600</v>
      </c>
      <c r="R1439" s="17" t="s">
        <v>6601</v>
      </c>
      <c r="S1439" s="11"/>
      <c r="T1439" s="11"/>
      <c r="U1439" s="10" t="str">
        <f t="shared" ref="U1439:U1441" si="298">HYPERLINK("https://pbs.twimg.com/profile_images/1057387412169674753/70xRfk8A.jpg","View")</f>
        <v>View</v>
      </c>
    </row>
    <row r="1440" spans="1:21" ht="30.6">
      <c r="A1440" s="6">
        <v>43425.717083333337</v>
      </c>
      <c r="B1440" s="7" t="str">
        <f t="shared" si="296"/>
        <v>@RetogenesC</v>
      </c>
      <c r="C1440" s="8" t="s">
        <v>6597</v>
      </c>
      <c r="D1440" s="9" t="s">
        <v>6602</v>
      </c>
      <c r="E1440" s="10" t="str">
        <f>HYPERLINK("https://twitter.com/RetogenesC/status/1065412697947324417","1065412697947324417")</f>
        <v>1065412697947324417</v>
      </c>
      <c r="F1440" s="14" t="s">
        <v>6603</v>
      </c>
      <c r="G1440" s="11"/>
      <c r="H1440" s="11"/>
      <c r="I1440" s="12">
        <v>2</v>
      </c>
      <c r="J1440" s="12">
        <v>1</v>
      </c>
      <c r="K1440" s="13" t="str">
        <f t="shared" si="297"/>
        <v>Twitter Web Client</v>
      </c>
      <c r="L1440" s="12">
        <v>505</v>
      </c>
      <c r="M1440" s="12">
        <v>785</v>
      </c>
      <c r="N1440" s="12">
        <v>1</v>
      </c>
      <c r="O1440" s="15"/>
      <c r="P1440" s="6">
        <v>43402.578657407408</v>
      </c>
      <c r="Q1440" s="16" t="s">
        <v>6600</v>
      </c>
      <c r="R1440" s="17" t="s">
        <v>6601</v>
      </c>
      <c r="S1440" s="11"/>
      <c r="T1440" s="11"/>
      <c r="U1440" s="10" t="str">
        <f t="shared" si="298"/>
        <v>View</v>
      </c>
    </row>
    <row r="1441" spans="1:21" ht="30.6">
      <c r="A1441" s="6">
        <v>43425.716631944444</v>
      </c>
      <c r="B1441" s="7" t="str">
        <f t="shared" si="296"/>
        <v>@RetogenesC</v>
      </c>
      <c r="C1441" s="8" t="s">
        <v>6597</v>
      </c>
      <c r="D1441" s="9" t="s">
        <v>6604</v>
      </c>
      <c r="E1441" s="10" t="str">
        <f>HYPERLINK("https://twitter.com/RetogenesC/status/1065412534839271424","1065412534839271424")</f>
        <v>1065412534839271424</v>
      </c>
      <c r="F1441" s="14" t="s">
        <v>6605</v>
      </c>
      <c r="G1441" s="11"/>
      <c r="H1441" s="11"/>
      <c r="I1441" s="12">
        <v>0</v>
      </c>
      <c r="J1441" s="12">
        <v>0</v>
      </c>
      <c r="K1441" s="13" t="str">
        <f t="shared" si="297"/>
        <v>Twitter Web Client</v>
      </c>
      <c r="L1441" s="12">
        <v>505</v>
      </c>
      <c r="M1441" s="12">
        <v>785</v>
      </c>
      <c r="N1441" s="12">
        <v>1</v>
      </c>
      <c r="O1441" s="15"/>
      <c r="P1441" s="6">
        <v>43402.578657407408</v>
      </c>
      <c r="Q1441" s="16" t="s">
        <v>6600</v>
      </c>
      <c r="R1441" s="17" t="s">
        <v>6601</v>
      </c>
      <c r="S1441" s="11"/>
      <c r="T1441" s="11"/>
      <c r="U1441" s="10" t="str">
        <f t="shared" si="298"/>
        <v>View</v>
      </c>
    </row>
    <row r="1442" spans="1:21" ht="20.399999999999999">
      <c r="A1442" s="6">
        <v>43425.712465277778</v>
      </c>
      <c r="B1442" s="7" t="str">
        <f>HYPERLINK("https://twitter.com/Jose50886535","@Jose50886535")</f>
        <v>@Jose50886535</v>
      </c>
      <c r="C1442" s="8" t="s">
        <v>6606</v>
      </c>
      <c r="D1442" s="9" t="s">
        <v>6607</v>
      </c>
      <c r="E1442" s="10" t="str">
        <f>HYPERLINK("https://twitter.com/Jose50886535/status/1065411026139709446","1065411026139709446")</f>
        <v>1065411026139709446</v>
      </c>
      <c r="F1442" s="14" t="s">
        <v>6608</v>
      </c>
      <c r="G1442" s="11"/>
      <c r="H1442" s="11"/>
      <c r="I1442" s="12">
        <v>0</v>
      </c>
      <c r="J1442" s="12">
        <v>0</v>
      </c>
      <c r="K1442" s="13" t="str">
        <f t="shared" ref="K1442:K1443" si="299">HYPERLINK("http://twitter.com/download/android","Twitter for Android")</f>
        <v>Twitter for Android</v>
      </c>
      <c r="L1442" s="12">
        <v>188</v>
      </c>
      <c r="M1442" s="12">
        <v>747</v>
      </c>
      <c r="N1442" s="12">
        <v>3</v>
      </c>
      <c r="O1442" s="15"/>
      <c r="P1442" s="6">
        <v>43216.497546296298</v>
      </c>
      <c r="Q1442" s="16" t="s">
        <v>6609</v>
      </c>
      <c r="R1442" s="17" t="s">
        <v>6610</v>
      </c>
      <c r="S1442" s="11"/>
      <c r="T1442" s="11"/>
      <c r="U1442" s="10" t="str">
        <f>HYPERLINK("https://pbs.twimg.com/profile_images/996062487932997635/e8E81Wv5.jpg","View")</f>
        <v>View</v>
      </c>
    </row>
    <row r="1443" spans="1:21" ht="30.6">
      <c r="A1443" s="6">
        <v>43425.70417824074</v>
      </c>
      <c r="B1443" s="7" t="str">
        <f>HYPERLINK("https://twitter.com/Antonio20133809","@Antonio20133809")</f>
        <v>@Antonio20133809</v>
      </c>
      <c r="C1443" s="8" t="s">
        <v>6611</v>
      </c>
      <c r="D1443" s="9" t="s">
        <v>6612</v>
      </c>
      <c r="E1443" s="10" t="str">
        <f>HYPERLINK("https://twitter.com/Antonio20133809/status/1065408023349379073","1065408023349379073")</f>
        <v>1065408023349379073</v>
      </c>
      <c r="F1443" s="14" t="s">
        <v>3889</v>
      </c>
      <c r="G1443" s="11"/>
      <c r="H1443" s="11"/>
      <c r="I1443" s="12">
        <v>0</v>
      </c>
      <c r="J1443" s="12">
        <v>0</v>
      </c>
      <c r="K1443" s="13" t="str">
        <f t="shared" si="299"/>
        <v>Twitter for Android</v>
      </c>
      <c r="L1443" s="12">
        <v>373</v>
      </c>
      <c r="M1443" s="12">
        <v>403</v>
      </c>
      <c r="N1443" s="12">
        <v>0</v>
      </c>
      <c r="O1443" s="15"/>
      <c r="P1443" s="6">
        <v>43123.547106481477</v>
      </c>
      <c r="Q1443" s="16" t="s">
        <v>2352</v>
      </c>
      <c r="R1443" s="17" t="s">
        <v>6613</v>
      </c>
      <c r="S1443" s="11"/>
      <c r="T1443" s="11"/>
      <c r="U1443" s="10" t="str">
        <f>HYPERLINK("https://pbs.twimg.com/profile_images/955912031240163329/-45cnt5x.jpg","View")</f>
        <v>View</v>
      </c>
    </row>
    <row r="1444" spans="1:21" ht="40.799999999999997">
      <c r="A1444" s="6">
        <v>43425.699884259258</v>
      </c>
      <c r="B1444" s="7" t="str">
        <f>HYPERLINK("https://twitter.com/MaribelRH","@MaribelRH")</f>
        <v>@MaribelRH</v>
      </c>
      <c r="C1444" s="8" t="s">
        <v>6614</v>
      </c>
      <c r="D1444" s="9" t="s">
        <v>6615</v>
      </c>
      <c r="E1444" s="10" t="str">
        <f>HYPERLINK("https://twitter.com/MaribelRH/status/1065406465228320768","1065406465228320768")</f>
        <v>1065406465228320768</v>
      </c>
      <c r="F1444" s="11"/>
      <c r="G1444" s="14" t="s">
        <v>6616</v>
      </c>
      <c r="H1444" s="11"/>
      <c r="I1444" s="12">
        <v>0</v>
      </c>
      <c r="J1444" s="12">
        <v>1</v>
      </c>
      <c r="K1444" s="13" t="str">
        <f>HYPERLINK("http://twitter.com","Twitter Web Client")</f>
        <v>Twitter Web Client</v>
      </c>
      <c r="L1444" s="12">
        <v>956</v>
      </c>
      <c r="M1444" s="12">
        <v>393</v>
      </c>
      <c r="N1444" s="12">
        <v>47</v>
      </c>
      <c r="O1444" s="15"/>
      <c r="P1444" s="6">
        <v>40590.19017361111</v>
      </c>
      <c r="Q1444" s="11"/>
      <c r="R1444" s="19"/>
      <c r="S1444" s="11"/>
      <c r="T1444" s="11"/>
      <c r="U1444" s="10" t="str">
        <f>HYPERLINK("https://pbs.twimg.com/profile_images/1022237806209495041/j8A6FdvY.jpg","View")</f>
        <v>View</v>
      </c>
    </row>
    <row r="1445" spans="1:21" ht="20.399999999999999">
      <c r="A1445" s="6">
        <v>43425.69394675926</v>
      </c>
      <c r="B1445" s="7" t="str">
        <f>HYPERLINK("https://twitter.com/Kasibueno","@Kasibueno")</f>
        <v>@Kasibueno</v>
      </c>
      <c r="C1445" s="8" t="s">
        <v>6617</v>
      </c>
      <c r="D1445" s="9" t="s">
        <v>6618</v>
      </c>
      <c r="E1445" s="10" t="str">
        <f>HYPERLINK("https://twitter.com/Kasibueno/status/1065404314997452808","1065404314997452808")</f>
        <v>1065404314997452808</v>
      </c>
      <c r="F1445" s="14" t="s">
        <v>1267</v>
      </c>
      <c r="G1445" s="11"/>
      <c r="H1445" s="11"/>
      <c r="I1445" s="12">
        <v>0</v>
      </c>
      <c r="J1445" s="12">
        <v>0</v>
      </c>
      <c r="K1445" s="13" t="str">
        <f>HYPERLINK("http://twitter.com/download/android","Twitter for Android")</f>
        <v>Twitter for Android</v>
      </c>
      <c r="L1445" s="12">
        <v>581</v>
      </c>
      <c r="M1445" s="12">
        <v>282</v>
      </c>
      <c r="N1445" s="12">
        <v>12</v>
      </c>
      <c r="O1445" s="15"/>
      <c r="P1445" s="6">
        <v>40471.637187500004</v>
      </c>
      <c r="Q1445" s="11"/>
      <c r="R1445" s="17" t="s">
        <v>6619</v>
      </c>
      <c r="S1445" s="11"/>
      <c r="T1445" s="11"/>
      <c r="U1445" s="10" t="str">
        <f>HYPERLINK("https://pbs.twimg.com/profile_images/913586468832075776/2kbNkWVK.jpg","View")</f>
        <v>View</v>
      </c>
    </row>
    <row r="1446" spans="1:21" ht="30.6">
      <c r="A1446" s="6">
        <v>43425.69231481482</v>
      </c>
      <c r="B1446" s="7" t="str">
        <f>HYPERLINK("https://twitter.com/sakamelo","@sakamelo")</f>
        <v>@sakamelo</v>
      </c>
      <c r="C1446" s="8" t="s">
        <v>6620</v>
      </c>
      <c r="D1446" s="9" t="s">
        <v>6621</v>
      </c>
      <c r="E1446" s="10" t="str">
        <f>HYPERLINK("https://twitter.com/sakamelo/status/1065403724833665025","1065403724833665025")</f>
        <v>1065403724833665025</v>
      </c>
      <c r="F1446" s="14" t="s">
        <v>6622</v>
      </c>
      <c r="G1446" s="11"/>
      <c r="H1446" s="11"/>
      <c r="I1446" s="12">
        <v>0</v>
      </c>
      <c r="J1446" s="12">
        <v>0</v>
      </c>
      <c r="K1446" s="13" t="str">
        <f>HYPERLINK("http://www.facebook.com/twitter","Facebook")</f>
        <v>Facebook</v>
      </c>
      <c r="L1446" s="12">
        <v>522</v>
      </c>
      <c r="M1446" s="12">
        <v>755</v>
      </c>
      <c r="N1446" s="12">
        <v>7</v>
      </c>
      <c r="O1446" s="15"/>
      <c r="P1446" s="6">
        <v>40177.371122685188</v>
      </c>
      <c r="Q1446" s="16" t="s">
        <v>6623</v>
      </c>
      <c r="R1446" s="17" t="s">
        <v>6624</v>
      </c>
      <c r="S1446" s="11"/>
      <c r="T1446" s="11"/>
      <c r="U1446" s="10" t="str">
        <f>HYPERLINK("https://pbs.twimg.com/profile_images/2499169137/zh0x26jzr5s7xwa07nsz.gif","View")</f>
        <v>View</v>
      </c>
    </row>
    <row r="1447" spans="1:21" ht="30.6">
      <c r="A1447" s="6">
        <v>43425.690335648149</v>
      </c>
      <c r="B1447" s="7" t="str">
        <f>HYPERLINK("https://twitter.com/mironyruiz","@mironyruiz")</f>
        <v>@mironyruiz</v>
      </c>
      <c r="C1447" s="8" t="s">
        <v>3359</v>
      </c>
      <c r="D1447" s="9" t="s">
        <v>3360</v>
      </c>
      <c r="E1447" s="10" t="str">
        <f>HYPERLINK("https://twitter.com/mironyruiz/status/1065403003988045824","1065403003988045824")</f>
        <v>1065403003988045824</v>
      </c>
      <c r="F1447" s="14" t="s">
        <v>3361</v>
      </c>
      <c r="G1447" s="11"/>
      <c r="H1447" s="11"/>
      <c r="I1447" s="12">
        <v>0</v>
      </c>
      <c r="J1447" s="12">
        <v>0</v>
      </c>
      <c r="K1447" s="13" t="str">
        <f>HYPERLINK("https://mobile.twitter.com","Twitter Lite")</f>
        <v>Twitter Lite</v>
      </c>
      <c r="L1447" s="12">
        <v>271</v>
      </c>
      <c r="M1447" s="12">
        <v>147</v>
      </c>
      <c r="N1447" s="12">
        <v>5</v>
      </c>
      <c r="O1447" s="15"/>
      <c r="P1447" s="6">
        <v>40677.786180555559</v>
      </c>
      <c r="Q1447" s="16" t="s">
        <v>38</v>
      </c>
      <c r="R1447" s="17" t="s">
        <v>3363</v>
      </c>
      <c r="S1447" s="14" t="s">
        <v>3364</v>
      </c>
      <c r="T1447" s="11"/>
      <c r="U1447" s="10" t="str">
        <f>HYPERLINK("https://pbs.twimg.com/profile_images/661768962905083908/wgqMTcbc.jpg","View")</f>
        <v>View</v>
      </c>
    </row>
    <row r="1448" spans="1:21" ht="61.2">
      <c r="A1448" s="6">
        <v>43425.685914351852</v>
      </c>
      <c r="B1448" s="7" t="str">
        <f>HYPERLINK("https://twitter.com/iRafaelColunga","@iRafaelColunga")</f>
        <v>@iRafaelColunga</v>
      </c>
      <c r="C1448" s="8" t="s">
        <v>6625</v>
      </c>
      <c r="D1448" s="9" t="s">
        <v>6626</v>
      </c>
      <c r="E1448" s="10" t="str">
        <f>HYPERLINK("https://twitter.com/iRafaelColunga/status/1065401404360204288","1065401404360204288")</f>
        <v>1065401404360204288</v>
      </c>
      <c r="F1448" s="16" t="s">
        <v>6627</v>
      </c>
      <c r="G1448" s="11"/>
      <c r="H1448" s="11"/>
      <c r="I1448" s="12">
        <v>0</v>
      </c>
      <c r="J1448" s="12">
        <v>1</v>
      </c>
      <c r="K1448" s="13" t="str">
        <f>HYPERLINK("http://twitter.com/#!/download/ipad","Twitter for iPad")</f>
        <v>Twitter for iPad</v>
      </c>
      <c r="L1448" s="12">
        <v>316</v>
      </c>
      <c r="M1448" s="12">
        <v>312</v>
      </c>
      <c r="N1448" s="12">
        <v>0</v>
      </c>
      <c r="O1448" s="15"/>
      <c r="P1448" s="6">
        <v>40920.756921296299</v>
      </c>
      <c r="Q1448" s="16" t="s">
        <v>6628</v>
      </c>
      <c r="R1448" s="17" t="s">
        <v>6629</v>
      </c>
      <c r="S1448" s="11"/>
      <c r="T1448" s="11"/>
      <c r="U1448" s="10" t="str">
        <f>HYPERLINK("https://pbs.twimg.com/profile_images/1054537500629352448/kMiCG5Ey.jpg","View")</f>
        <v>View</v>
      </c>
    </row>
    <row r="1449" spans="1:21" ht="112.2">
      <c r="A1449" s="6">
        <v>43425.684386574074</v>
      </c>
      <c r="B1449" s="7" t="str">
        <f>HYPERLINK("https://twitter.com/pjhm1969","@pjhm1969")</f>
        <v>@pjhm1969</v>
      </c>
      <c r="C1449" s="8" t="s">
        <v>6630</v>
      </c>
      <c r="D1449" s="9" t="s">
        <v>6631</v>
      </c>
      <c r="E1449" s="10" t="str">
        <f>HYPERLINK("https://twitter.com/pjhm1969/status/1065400849848041472","1065400849848041472")</f>
        <v>1065400849848041472</v>
      </c>
      <c r="F1449" s="16" t="s">
        <v>1925</v>
      </c>
      <c r="G1449" s="11"/>
      <c r="H1449" s="11"/>
      <c r="I1449" s="12">
        <v>0</v>
      </c>
      <c r="J1449" s="12">
        <v>0</v>
      </c>
      <c r="K1449" s="13" t="str">
        <f>HYPERLINK("http://twitter.com/download/iphone","Twitter for iPhone")</f>
        <v>Twitter for iPhone</v>
      </c>
      <c r="L1449" s="12">
        <v>205</v>
      </c>
      <c r="M1449" s="12">
        <v>614</v>
      </c>
      <c r="N1449" s="12">
        <v>4</v>
      </c>
      <c r="O1449" s="15"/>
      <c r="P1449" s="6">
        <v>42270.297175925924</v>
      </c>
      <c r="Q1449" s="11"/>
      <c r="R1449" s="19"/>
      <c r="S1449" s="11"/>
      <c r="T1449" s="11"/>
      <c r="U1449" s="10" t="str">
        <f>HYPERLINK("https://pbs.twimg.com/profile_images/1060648938951323648/8NZu-B-Y.jpg","View")</f>
        <v>View</v>
      </c>
    </row>
    <row r="1450" spans="1:21" ht="20.399999999999999">
      <c r="A1450" s="6">
        <v>43425.678969907407</v>
      </c>
      <c r="B1450" s="7" t="str">
        <f>HYPERLINK("https://twitter.com/lucksebas","@lucksebas")</f>
        <v>@lucksebas</v>
      </c>
      <c r="C1450" s="8" t="s">
        <v>3365</v>
      </c>
      <c r="D1450" s="9" t="s">
        <v>3366</v>
      </c>
      <c r="E1450" s="10" t="str">
        <f>HYPERLINK("https://twitter.com/lucksebas/status/1065398886121070593","1065398886121070593")</f>
        <v>1065398886121070593</v>
      </c>
      <c r="F1450" s="11"/>
      <c r="G1450" s="14" t="s">
        <v>3368</v>
      </c>
      <c r="H1450" s="11"/>
      <c r="I1450" s="12">
        <v>2</v>
      </c>
      <c r="J1450" s="12">
        <v>10</v>
      </c>
      <c r="K1450" s="13" t="str">
        <f>HYPERLINK("http://twitter.com/download/android","Twitter for Android")</f>
        <v>Twitter for Android</v>
      </c>
      <c r="L1450" s="12">
        <v>1748</v>
      </c>
      <c r="M1450" s="12">
        <v>1345</v>
      </c>
      <c r="N1450" s="12">
        <v>16</v>
      </c>
      <c r="O1450" s="15"/>
      <c r="P1450" s="6">
        <v>40705.410520833335</v>
      </c>
      <c r="Q1450" s="16" t="s">
        <v>3370</v>
      </c>
      <c r="R1450" s="17" t="s">
        <v>3371</v>
      </c>
      <c r="S1450" s="14" t="s">
        <v>3373</v>
      </c>
      <c r="T1450" s="11"/>
      <c r="U1450" s="10" t="str">
        <f>HYPERLINK("https://pbs.twimg.com/profile_images/1064151419551404032/EOAdWJ3C.jpg","View")</f>
        <v>View</v>
      </c>
    </row>
    <row r="1451" spans="1:21" ht="40.799999999999997">
      <c r="A1451" s="6">
        <v>43425.67869212963</v>
      </c>
      <c r="B1451" s="7" t="str">
        <f>HYPERLINK("https://twitter.com/viamonte6","@viamonte6")</f>
        <v>@viamonte6</v>
      </c>
      <c r="C1451" s="8" t="s">
        <v>6632</v>
      </c>
      <c r="D1451" s="9" t="s">
        <v>6633</v>
      </c>
      <c r="E1451" s="10" t="str">
        <f>HYPERLINK("https://twitter.com/viamonte6/status/1065398786866991104","1065398786866991104")</f>
        <v>1065398786866991104</v>
      </c>
      <c r="F1451" s="14" t="s">
        <v>6634</v>
      </c>
      <c r="G1451" s="11"/>
      <c r="H1451" s="11"/>
      <c r="I1451" s="12">
        <v>2</v>
      </c>
      <c r="J1451" s="12">
        <v>4</v>
      </c>
      <c r="K1451" s="13" t="str">
        <f>HYPERLINK("http://twitter.com/download/iphone","Twitter for iPhone")</f>
        <v>Twitter for iPhone</v>
      </c>
      <c r="L1451" s="12">
        <v>247</v>
      </c>
      <c r="M1451" s="12">
        <v>509</v>
      </c>
      <c r="N1451" s="12">
        <v>6</v>
      </c>
      <c r="O1451" s="15"/>
      <c r="P1451" s="6">
        <v>42099.724664351852</v>
      </c>
      <c r="Q1451" s="16" t="s">
        <v>6635</v>
      </c>
      <c r="R1451" s="17" t="s">
        <v>6636</v>
      </c>
      <c r="S1451" s="11"/>
      <c r="T1451" s="11"/>
      <c r="U1451" s="10" t="str">
        <f>HYPERLINK("https://pbs.twimg.com/profile_images/1064291150532657152/YjJTbOKI.jpg","View")</f>
        <v>View</v>
      </c>
    </row>
    <row r="1452" spans="1:21" ht="30.6">
      <c r="A1452" s="6">
        <v>43425.671111111107</v>
      </c>
      <c r="B1452" s="7" t="str">
        <f>HYPERLINK("https://twitter.com/igcaspe","@igcaspe")</f>
        <v>@igcaspe</v>
      </c>
      <c r="C1452" s="8" t="s">
        <v>6637</v>
      </c>
      <c r="D1452" s="9" t="s">
        <v>6638</v>
      </c>
      <c r="E1452" s="10" t="str">
        <f>HYPERLINK("https://twitter.com/igcaspe/status/1065396039132332032","1065396039132332032")</f>
        <v>1065396039132332032</v>
      </c>
      <c r="F1452" s="11"/>
      <c r="G1452" s="11"/>
      <c r="H1452" s="11"/>
      <c r="I1452" s="12">
        <v>0</v>
      </c>
      <c r="J1452" s="12">
        <v>2</v>
      </c>
      <c r="K1452" s="13" t="str">
        <f>HYPERLINK("http://twitter.com/download/android","Twitter for Android")</f>
        <v>Twitter for Android</v>
      </c>
      <c r="L1452" s="12">
        <v>617</v>
      </c>
      <c r="M1452" s="12">
        <v>397</v>
      </c>
      <c r="N1452" s="12">
        <v>11</v>
      </c>
      <c r="O1452" s="15"/>
      <c r="P1452" s="6">
        <v>40673.075474537036</v>
      </c>
      <c r="Q1452" s="16" t="s">
        <v>6639</v>
      </c>
      <c r="R1452" s="17" t="s">
        <v>6640</v>
      </c>
      <c r="S1452" s="11"/>
      <c r="T1452" s="11"/>
      <c r="U1452" s="10" t="str">
        <f>HYPERLINK("https://pbs.twimg.com/profile_images/1057823255011225600/RIxdnHxR.jpg","View")</f>
        <v>View</v>
      </c>
    </row>
    <row r="1453" spans="1:21" ht="20.399999999999999">
      <c r="A1453" s="6">
        <v>43425.66506944444</v>
      </c>
      <c r="B1453" s="7" t="str">
        <f>HYPERLINK("https://twitter.com/c_c_baxter","@c_c_baxter")</f>
        <v>@c_c_baxter</v>
      </c>
      <c r="C1453" s="8" t="s">
        <v>6641</v>
      </c>
      <c r="D1453" s="9" t="s">
        <v>6642</v>
      </c>
      <c r="E1453" s="10" t="str">
        <f>HYPERLINK("https://twitter.com/c_c_baxter/status/1065393849303031808","1065393849303031808")</f>
        <v>1065393849303031808</v>
      </c>
      <c r="F1453" s="11"/>
      <c r="G1453" s="14" t="s">
        <v>6643</v>
      </c>
      <c r="H1453" s="11"/>
      <c r="I1453" s="12">
        <v>0</v>
      </c>
      <c r="J1453" s="12">
        <v>0</v>
      </c>
      <c r="K1453" s="13" t="str">
        <f t="shared" ref="K1453:K1454" si="300">HYPERLINK("http://twitter.com/#!/download/ipad","Twitter for iPad")</f>
        <v>Twitter for iPad</v>
      </c>
      <c r="L1453" s="12">
        <v>1262</v>
      </c>
      <c r="M1453" s="12">
        <v>510</v>
      </c>
      <c r="N1453" s="12">
        <v>87</v>
      </c>
      <c r="O1453" s="15"/>
      <c r="P1453" s="6">
        <v>39996.727685185186</v>
      </c>
      <c r="Q1453" s="16" t="s">
        <v>6644</v>
      </c>
      <c r="R1453" s="17" t="s">
        <v>6645</v>
      </c>
      <c r="S1453" s="14" t="s">
        <v>6646</v>
      </c>
      <c r="T1453" s="11"/>
      <c r="U1453" s="10" t="str">
        <f>HYPERLINK("https://pbs.twimg.com/profile_images/3522371834/2fa475432051714da0af69290199db44.jpeg","View")</f>
        <v>View</v>
      </c>
    </row>
    <row r="1454" spans="1:21" ht="40.799999999999997">
      <c r="A1454" s="6">
        <v>43425.661458333328</v>
      </c>
      <c r="B1454" s="7" t="str">
        <f>HYPERLINK("https://twitter.com/PPdeSevilla","@PPdeSevilla")</f>
        <v>@PPdeSevilla</v>
      </c>
      <c r="C1454" s="8" t="s">
        <v>6647</v>
      </c>
      <c r="D1454" s="9" t="s">
        <v>6648</v>
      </c>
      <c r="E1454" s="10" t="str">
        <f>HYPERLINK("https://twitter.com/PPdeSevilla/status/1065392541888126978","1065392541888126978")</f>
        <v>1065392541888126978</v>
      </c>
      <c r="F1454" s="11"/>
      <c r="G1454" s="14" t="s">
        <v>6649</v>
      </c>
      <c r="H1454" s="11"/>
      <c r="I1454" s="12">
        <v>15</v>
      </c>
      <c r="J1454" s="12">
        <v>14</v>
      </c>
      <c r="K1454" s="13" t="str">
        <f t="shared" si="300"/>
        <v>Twitter for iPad</v>
      </c>
      <c r="L1454" s="12">
        <v>8651</v>
      </c>
      <c r="M1454" s="12">
        <v>3032</v>
      </c>
      <c r="N1454" s="12">
        <v>135</v>
      </c>
      <c r="O1454" s="18" t="s">
        <v>52</v>
      </c>
      <c r="P1454" s="6">
        <v>40850.442789351851</v>
      </c>
      <c r="Q1454" s="16" t="s">
        <v>132</v>
      </c>
      <c r="R1454" s="17" t="s">
        <v>6650</v>
      </c>
      <c r="S1454" s="14" t="s">
        <v>6651</v>
      </c>
      <c r="T1454" s="11"/>
      <c r="U1454" s="10" t="str">
        <f>HYPERLINK("https://pbs.twimg.com/profile_images/1053700478025035776/sZcD0JhD.jpg","View")</f>
        <v>View</v>
      </c>
    </row>
    <row r="1455" spans="1:21" ht="61.2">
      <c r="A1455" s="6">
        <v>43425.660902777774</v>
      </c>
      <c r="B1455" s="7" t="str">
        <f>HYPERLINK("https://twitter.com/lechuzeta","@lechuzeta")</f>
        <v>@lechuzeta</v>
      </c>
      <c r="C1455" s="8" t="s">
        <v>1121</v>
      </c>
      <c r="D1455" s="9" t="s">
        <v>1122</v>
      </c>
      <c r="E1455" s="10" t="str">
        <f>HYPERLINK("https://twitter.com/lechuzeta/status/1065392338166562816","1065392338166562816")</f>
        <v>1065392338166562816</v>
      </c>
      <c r="F1455" s="11"/>
      <c r="G1455" s="14" t="s">
        <v>3377</v>
      </c>
      <c r="H1455" s="11"/>
      <c r="I1455" s="12">
        <v>0</v>
      </c>
      <c r="J1455" s="12">
        <v>1</v>
      </c>
      <c r="K1455" s="13" t="str">
        <f t="shared" ref="K1455:K1456" si="301">HYPERLINK("http://twitter.com/download/android","Twitter for Android")</f>
        <v>Twitter for Android</v>
      </c>
      <c r="L1455" s="12">
        <v>2518</v>
      </c>
      <c r="M1455" s="12">
        <v>3120</v>
      </c>
      <c r="N1455" s="12">
        <v>46</v>
      </c>
      <c r="O1455" s="15"/>
      <c r="P1455" s="6">
        <v>41869.322245370371</v>
      </c>
      <c r="Q1455" s="16" t="s">
        <v>1125</v>
      </c>
      <c r="R1455" s="17" t="s">
        <v>1126</v>
      </c>
      <c r="S1455" s="14" t="s">
        <v>1128</v>
      </c>
      <c r="T1455" s="11"/>
      <c r="U1455" s="10" t="str">
        <f>HYPERLINK("https://pbs.twimg.com/profile_images/501385939197771776/wuK0x4a9.jpeg","View")</f>
        <v>View</v>
      </c>
    </row>
    <row r="1456" spans="1:21" ht="30.6">
      <c r="A1456" s="6">
        <v>43425.658796296295</v>
      </c>
      <c r="B1456" s="7" t="str">
        <f>HYPERLINK("https://twitter.com/pedrogoro","@pedrogoro")</f>
        <v>@pedrogoro</v>
      </c>
      <c r="C1456" s="8" t="s">
        <v>6652</v>
      </c>
      <c r="D1456" s="9" t="s">
        <v>6653</v>
      </c>
      <c r="E1456" s="10" t="str">
        <f>HYPERLINK("https://twitter.com/pedrogoro/status/1065391576501927936","1065391576501927936")</f>
        <v>1065391576501927936</v>
      </c>
      <c r="F1456" s="11"/>
      <c r="G1456" s="14" t="s">
        <v>6654</v>
      </c>
      <c r="H1456" s="11"/>
      <c r="I1456" s="12">
        <v>3</v>
      </c>
      <c r="J1456" s="12">
        <v>8</v>
      </c>
      <c r="K1456" s="13" t="str">
        <f t="shared" si="301"/>
        <v>Twitter for Android</v>
      </c>
      <c r="L1456" s="12">
        <v>6286</v>
      </c>
      <c r="M1456" s="12">
        <v>714</v>
      </c>
      <c r="N1456" s="12">
        <v>60</v>
      </c>
      <c r="O1456" s="15"/>
      <c r="P1456" s="6">
        <v>40553.986562500002</v>
      </c>
      <c r="Q1456" s="16" t="s">
        <v>6655</v>
      </c>
      <c r="R1456" s="17" t="s">
        <v>6656</v>
      </c>
      <c r="S1456" s="14" t="s">
        <v>6657</v>
      </c>
      <c r="T1456" s="11"/>
      <c r="U1456" s="10" t="str">
        <f>HYPERLINK("https://pbs.twimg.com/profile_images/1059798031044956160/F2136bx7.jpg","View")</f>
        <v>View</v>
      </c>
    </row>
    <row r="1457" spans="1:21" ht="20.399999999999999">
      <c r="A1457" s="6">
        <v>43425.657766203702</v>
      </c>
      <c r="B1457" s="7" t="str">
        <f>HYPERLINK("https://twitter.com/RealRaGeOficial","@RealRaGeOficial")</f>
        <v>@RealRaGeOficial</v>
      </c>
      <c r="C1457" s="8" t="s">
        <v>6658</v>
      </c>
      <c r="D1457" s="9" t="s">
        <v>6659</v>
      </c>
      <c r="E1457" s="10" t="str">
        <f>HYPERLINK("https://twitter.com/RealRaGeOficial/status/1065391202500005888","1065391202500005888")</f>
        <v>1065391202500005888</v>
      </c>
      <c r="F1457" s="14" t="s">
        <v>6660</v>
      </c>
      <c r="G1457" s="11"/>
      <c r="H1457" s="11"/>
      <c r="I1457" s="12">
        <v>0</v>
      </c>
      <c r="J1457" s="12">
        <v>0</v>
      </c>
      <c r="K1457" s="13" t="str">
        <f>HYPERLINK("https://www.google.com/","Google")</f>
        <v>Google</v>
      </c>
      <c r="L1457" s="12">
        <v>51</v>
      </c>
      <c r="M1457" s="12">
        <v>272</v>
      </c>
      <c r="N1457" s="12">
        <v>6</v>
      </c>
      <c r="O1457" s="15"/>
      <c r="P1457" s="6">
        <v>42066.493402777778</v>
      </c>
      <c r="Q1457" s="16" t="s">
        <v>123</v>
      </c>
      <c r="R1457" s="17" t="s">
        <v>6661</v>
      </c>
      <c r="S1457" s="14" t="s">
        <v>6662</v>
      </c>
      <c r="T1457" s="11"/>
      <c r="U1457" s="10" t="str">
        <f>HYPERLINK("https://pbs.twimg.com/profile_images/602212424972906498/vTk_jNH5.jpg","View")</f>
        <v>View</v>
      </c>
    </row>
    <row r="1458" spans="1:21" ht="40.799999999999997">
      <c r="A1458" s="6">
        <v>43425.652465277773</v>
      </c>
      <c r="B1458" s="7" t="str">
        <f>HYPERLINK("https://twitter.com/RevolucSocialYA","@RevolucSocialYA")</f>
        <v>@RevolucSocialYA</v>
      </c>
      <c r="C1458" s="8" t="s">
        <v>3380</v>
      </c>
      <c r="D1458" s="9" t="s">
        <v>3381</v>
      </c>
      <c r="E1458" s="10" t="str">
        <f>HYPERLINK("https://twitter.com/RevolucSocialYA/status/1065389281743650816","1065389281743650816")</f>
        <v>1065389281743650816</v>
      </c>
      <c r="F1458" s="11"/>
      <c r="G1458" s="11"/>
      <c r="H1458" s="11"/>
      <c r="I1458" s="12">
        <v>0</v>
      </c>
      <c r="J1458" s="12">
        <v>0</v>
      </c>
      <c r="K1458" s="13" t="str">
        <f t="shared" ref="K1458:K1460" si="302">HYPERLINK("http://twitter.com/download/android","Twitter for Android")</f>
        <v>Twitter for Android</v>
      </c>
      <c r="L1458" s="12">
        <v>65</v>
      </c>
      <c r="M1458" s="12">
        <v>360</v>
      </c>
      <c r="N1458" s="12">
        <v>0</v>
      </c>
      <c r="O1458" s="15"/>
      <c r="P1458" s="6">
        <v>43410.041597222225</v>
      </c>
      <c r="Q1458" s="16" t="s">
        <v>3386</v>
      </c>
      <c r="R1458" s="17" t="s">
        <v>3387</v>
      </c>
      <c r="S1458" s="11"/>
      <c r="T1458" s="11"/>
      <c r="U1458" s="10" t="str">
        <f>HYPERLINK("https://pbs.twimg.com/profile_images/1059733509269610496/3OuUfzws.jpg","View")</f>
        <v>View</v>
      </c>
    </row>
    <row r="1459" spans="1:21" ht="61.2">
      <c r="A1459" s="6">
        <v>43425.647962962961</v>
      </c>
      <c r="B1459" s="7" t="str">
        <f>HYPERLINK("https://twitter.com/Micadaja","@Micadaja")</f>
        <v>@Micadaja</v>
      </c>
      <c r="C1459" s="8" t="s">
        <v>6663</v>
      </c>
      <c r="D1459" s="9" t="s">
        <v>6664</v>
      </c>
      <c r="E1459" s="10" t="str">
        <f>HYPERLINK("https://twitter.com/Micadaja/status/1065387651019218944","1065387651019218944")</f>
        <v>1065387651019218944</v>
      </c>
      <c r="F1459" s="11"/>
      <c r="G1459" s="11"/>
      <c r="H1459" s="11"/>
      <c r="I1459" s="12">
        <v>0</v>
      </c>
      <c r="J1459" s="12">
        <v>0</v>
      </c>
      <c r="K1459" s="13" t="str">
        <f t="shared" si="302"/>
        <v>Twitter for Android</v>
      </c>
      <c r="L1459" s="12">
        <v>26</v>
      </c>
      <c r="M1459" s="12">
        <v>37</v>
      </c>
      <c r="N1459" s="12">
        <v>0</v>
      </c>
      <c r="O1459" s="15"/>
      <c r="P1459" s="6">
        <v>43025.300428240742</v>
      </c>
      <c r="Q1459" s="11"/>
      <c r="R1459" s="19"/>
      <c r="S1459" s="11"/>
      <c r="T1459" s="11"/>
      <c r="U1459" s="18" t="s">
        <v>168</v>
      </c>
    </row>
    <row r="1460" spans="1:21" ht="71.400000000000006">
      <c r="A1460" s="6">
        <v>43425.646018518513</v>
      </c>
      <c r="B1460" s="7" t="str">
        <f>HYPERLINK("https://twitter.com/Noatxell","@Noatxell")</f>
        <v>@Noatxell</v>
      </c>
      <c r="C1460" s="27" t="s">
        <v>6665</v>
      </c>
      <c r="D1460" s="9" t="s">
        <v>6666</v>
      </c>
      <c r="E1460" s="10" t="str">
        <f>HYPERLINK("https://twitter.com/Noatxell/status/1065386947399561216","1065386947399561216")</f>
        <v>1065386947399561216</v>
      </c>
      <c r="F1460" s="16" t="s">
        <v>1078</v>
      </c>
      <c r="G1460" s="11"/>
      <c r="H1460" s="11"/>
      <c r="I1460" s="12">
        <v>1</v>
      </c>
      <c r="J1460" s="12">
        <v>0</v>
      </c>
      <c r="K1460" s="13" t="str">
        <f t="shared" si="302"/>
        <v>Twitter for Android</v>
      </c>
      <c r="L1460" s="12">
        <v>1989</v>
      </c>
      <c r="M1460" s="12">
        <v>2017</v>
      </c>
      <c r="N1460" s="12">
        <v>150</v>
      </c>
      <c r="O1460" s="15"/>
      <c r="P1460" s="6">
        <v>41882.369097222225</v>
      </c>
      <c r="Q1460" s="16" t="s">
        <v>28</v>
      </c>
      <c r="R1460" s="17" t="s">
        <v>6667</v>
      </c>
      <c r="S1460" s="11"/>
      <c r="T1460" s="11"/>
      <c r="U1460" s="10" t="str">
        <f>HYPERLINK("https://pbs.twimg.com/profile_images/905522249683406849/qbqnxesd.jpg","View")</f>
        <v>View</v>
      </c>
    </row>
    <row r="1461" spans="1:21" ht="20.399999999999999">
      <c r="A1461" s="6">
        <v>43425.646018518513</v>
      </c>
      <c r="B1461" s="7" t="str">
        <f>HYPERLINK("https://twitter.com/Marmerbc","@Marmerbc")</f>
        <v>@Marmerbc</v>
      </c>
      <c r="C1461" s="8" t="s">
        <v>6668</v>
      </c>
      <c r="D1461" s="9" t="s">
        <v>6669</v>
      </c>
      <c r="E1461" s="10" t="str">
        <f>HYPERLINK("https://twitter.com/Marmerbc/status/1065386945117937664","1065386945117937664")</f>
        <v>1065386945117937664</v>
      </c>
      <c r="F1461" s="14" t="s">
        <v>6670</v>
      </c>
      <c r="G1461" s="11"/>
      <c r="H1461" s="11"/>
      <c r="I1461" s="12">
        <v>0</v>
      </c>
      <c r="J1461" s="12">
        <v>0</v>
      </c>
      <c r="K1461" s="13" t="str">
        <f>HYPERLINK("http://twitter.com/download/iphone","Twitter for iPhone")</f>
        <v>Twitter for iPhone</v>
      </c>
      <c r="L1461" s="12">
        <v>298</v>
      </c>
      <c r="M1461" s="12">
        <v>406</v>
      </c>
      <c r="N1461" s="12">
        <v>15</v>
      </c>
      <c r="O1461" s="15"/>
      <c r="P1461" s="6">
        <v>41371.5315625</v>
      </c>
      <c r="Q1461" s="11"/>
      <c r="R1461" s="17" t="s">
        <v>6671</v>
      </c>
      <c r="S1461" s="11"/>
      <c r="T1461" s="11"/>
      <c r="U1461" s="10" t="str">
        <f>HYPERLINK("https://pbs.twimg.com/profile_images/906155370040713216/ukBXCTVp.jpg","View")</f>
        <v>View</v>
      </c>
    </row>
    <row r="1462" spans="1:21" ht="51">
      <c r="A1462" s="6">
        <v>43425.642337962963</v>
      </c>
      <c r="B1462" s="7" t="str">
        <f>HYPERLINK("https://twitter.com/Adannae","@Adannae")</f>
        <v>@Adannae</v>
      </c>
      <c r="C1462" s="8" t="s">
        <v>6672</v>
      </c>
      <c r="D1462" s="9" t="s">
        <v>6673</v>
      </c>
      <c r="E1462" s="10" t="str">
        <f>HYPERLINK("https://twitter.com/Adannae/status/1065385610389700609","1065385610389700609")</f>
        <v>1065385610389700609</v>
      </c>
      <c r="F1462" s="11"/>
      <c r="G1462" s="11"/>
      <c r="H1462" s="11"/>
      <c r="I1462" s="12">
        <v>1</v>
      </c>
      <c r="J1462" s="12">
        <v>11</v>
      </c>
      <c r="K1462" s="13" t="str">
        <f t="shared" ref="K1462:K1464" si="303">HYPERLINK("http://twitter.com/download/android","Twitter for Android")</f>
        <v>Twitter for Android</v>
      </c>
      <c r="L1462" s="12">
        <v>3002</v>
      </c>
      <c r="M1462" s="12">
        <v>2560</v>
      </c>
      <c r="N1462" s="12">
        <v>29</v>
      </c>
      <c r="O1462" s="15"/>
      <c r="P1462" s="6">
        <v>40160.181307870371</v>
      </c>
      <c r="Q1462" s="16" t="s">
        <v>28</v>
      </c>
      <c r="R1462" s="17" t="s">
        <v>6674</v>
      </c>
      <c r="S1462" s="14" t="s">
        <v>6675</v>
      </c>
      <c r="T1462" s="11"/>
      <c r="U1462" s="10" t="str">
        <f>HYPERLINK("https://pbs.twimg.com/profile_images/1060232822420656129/69l9JhJ7.jpg","View")</f>
        <v>View</v>
      </c>
    </row>
    <row r="1463" spans="1:21" ht="71.400000000000006">
      <c r="A1463" s="6">
        <v>43425.634212962963</v>
      </c>
      <c r="B1463" s="7" t="str">
        <f>HYPERLINK("https://twitter.com/esteban_tfe","@esteban_tfe")</f>
        <v>@esteban_tfe</v>
      </c>
      <c r="C1463" s="8" t="s">
        <v>3390</v>
      </c>
      <c r="D1463" s="9" t="s">
        <v>3391</v>
      </c>
      <c r="E1463" s="10" t="str">
        <f>HYPERLINK("https://twitter.com/esteban_tfe/status/1065382669717045248","1065382669717045248")</f>
        <v>1065382669717045248</v>
      </c>
      <c r="F1463" s="16" t="s">
        <v>3393</v>
      </c>
      <c r="G1463" s="11"/>
      <c r="H1463" s="11"/>
      <c r="I1463" s="12">
        <v>0</v>
      </c>
      <c r="J1463" s="12">
        <v>0</v>
      </c>
      <c r="K1463" s="13" t="str">
        <f t="shared" si="303"/>
        <v>Twitter for Android</v>
      </c>
      <c r="L1463" s="12">
        <v>148</v>
      </c>
      <c r="M1463" s="12">
        <v>188</v>
      </c>
      <c r="N1463" s="12">
        <v>3</v>
      </c>
      <c r="O1463" s="15"/>
      <c r="P1463" s="6">
        <v>41231.442303240743</v>
      </c>
      <c r="Q1463" s="16" t="s">
        <v>3394</v>
      </c>
      <c r="R1463" s="17" t="s">
        <v>3395</v>
      </c>
      <c r="S1463" s="11"/>
      <c r="T1463" s="11"/>
      <c r="U1463" s="10" t="str">
        <f>HYPERLINK("https://pbs.twimg.com/profile_images/715610079173718017/0HLSBK0v.jpg","View")</f>
        <v>View</v>
      </c>
    </row>
    <row r="1464" spans="1:21" ht="40.799999999999997">
      <c r="A1464" s="6">
        <v>43425.634016203709</v>
      </c>
      <c r="B1464" s="7" t="str">
        <f>HYPERLINK("https://twitter.com/heavyindignado","@heavyindignado")</f>
        <v>@heavyindignado</v>
      </c>
      <c r="C1464" s="8" t="s">
        <v>3397</v>
      </c>
      <c r="D1464" s="9" t="s">
        <v>3398</v>
      </c>
      <c r="E1464" s="10" t="str">
        <f>HYPERLINK("https://twitter.com/heavyindignado/status/1065382594538348550","1065382594538348550")</f>
        <v>1065382594538348550</v>
      </c>
      <c r="F1464" s="14" t="s">
        <v>3401</v>
      </c>
      <c r="G1464" s="14" t="s">
        <v>3402</v>
      </c>
      <c r="H1464" s="11"/>
      <c r="I1464" s="12">
        <v>0</v>
      </c>
      <c r="J1464" s="12">
        <v>0</v>
      </c>
      <c r="K1464" s="13" t="str">
        <f t="shared" si="303"/>
        <v>Twitter for Android</v>
      </c>
      <c r="L1464" s="12">
        <v>191</v>
      </c>
      <c r="M1464" s="12">
        <v>7</v>
      </c>
      <c r="N1464" s="12">
        <v>41</v>
      </c>
      <c r="O1464" s="15"/>
      <c r="P1464" s="6">
        <v>41664.609421296293</v>
      </c>
      <c r="Q1464" s="16" t="s">
        <v>1223</v>
      </c>
      <c r="R1464" s="17" t="s">
        <v>3404</v>
      </c>
      <c r="S1464" s="11"/>
      <c r="T1464" s="11"/>
      <c r="U1464" s="10" t="str">
        <f>HYPERLINK("https://pbs.twimg.com/profile_images/849784011522273280/Vmb4Daml.jpg","View")</f>
        <v>View</v>
      </c>
    </row>
    <row r="1465" spans="1:21" ht="40.799999999999997">
      <c r="A1465" s="6">
        <v>43425.631550925929</v>
      </c>
      <c r="B1465" s="7" t="str">
        <f>HYPERLINK("https://twitter.com/Libert_Democrac","@Libert_Democrac")</f>
        <v>@Libert_Democrac</v>
      </c>
      <c r="C1465" s="8" t="s">
        <v>2319</v>
      </c>
      <c r="D1465" s="9" t="s">
        <v>6676</v>
      </c>
      <c r="E1465" s="10" t="str">
        <f>HYPERLINK("https://twitter.com/Libert_Democrac/status/1065381703865253888","1065381703865253888")</f>
        <v>1065381703865253888</v>
      </c>
      <c r="F1465" s="16" t="s">
        <v>6677</v>
      </c>
      <c r="G1465" s="11"/>
      <c r="H1465" s="11"/>
      <c r="I1465" s="12">
        <v>1</v>
      </c>
      <c r="J1465" s="12">
        <v>0</v>
      </c>
      <c r="K1465" s="13" t="str">
        <f>HYPERLINK("http://twitter.com/#!/download/ipad","Twitter for iPad")</f>
        <v>Twitter for iPad</v>
      </c>
      <c r="L1465" s="12">
        <v>2218</v>
      </c>
      <c r="M1465" s="12">
        <v>1242</v>
      </c>
      <c r="N1465" s="12">
        <v>37</v>
      </c>
      <c r="O1465" s="15"/>
      <c r="P1465" s="6">
        <v>42033.613773148143</v>
      </c>
      <c r="Q1465" s="16" t="s">
        <v>407</v>
      </c>
      <c r="R1465" s="17" t="s">
        <v>2323</v>
      </c>
      <c r="S1465" s="11"/>
      <c r="T1465" s="11"/>
      <c r="U1465" s="10" t="str">
        <f>HYPERLINK("https://pbs.twimg.com/profile_images/957031877352873985/aXOE-NT2.jpg","View")</f>
        <v>View</v>
      </c>
    </row>
    <row r="1466" spans="1:21" ht="20.399999999999999">
      <c r="A1466" s="6">
        <v>43425.63118055556</v>
      </c>
      <c r="B1466" s="7" t="str">
        <f>HYPERLINK("https://twitter.com/Davizoaf","@Davizoaf")</f>
        <v>@Davizoaf</v>
      </c>
      <c r="C1466" s="8" t="s">
        <v>3406</v>
      </c>
      <c r="D1466" s="9" t="s">
        <v>3407</v>
      </c>
      <c r="E1466" s="10" t="str">
        <f>HYPERLINK("https://twitter.com/Davizoaf/status/1065381569311973376","1065381569311973376")</f>
        <v>1065381569311973376</v>
      </c>
      <c r="F1466" s="14" t="s">
        <v>1267</v>
      </c>
      <c r="G1466" s="11"/>
      <c r="H1466" s="11"/>
      <c r="I1466" s="12">
        <v>0</v>
      </c>
      <c r="J1466" s="12">
        <v>0</v>
      </c>
      <c r="K1466" s="13" t="str">
        <f>HYPERLINK("http://twitter.com","Twitter Web Client")</f>
        <v>Twitter Web Client</v>
      </c>
      <c r="L1466" s="12">
        <v>423</v>
      </c>
      <c r="M1466" s="12">
        <v>385</v>
      </c>
      <c r="N1466" s="12">
        <v>14</v>
      </c>
      <c r="O1466" s="15"/>
      <c r="P1466" s="6">
        <v>40240.402361111112</v>
      </c>
      <c r="Q1466" s="16" t="s">
        <v>3411</v>
      </c>
      <c r="R1466" s="17" t="s">
        <v>3412</v>
      </c>
      <c r="S1466" s="11"/>
      <c r="T1466" s="11"/>
      <c r="U1466" s="10" t="str">
        <f>HYPERLINK("https://pbs.twimg.com/profile_images/2869519983/df385b3279a3e019809e03b0bbf60d69.png","View")</f>
        <v>View</v>
      </c>
    </row>
    <row r="1467" spans="1:21" ht="40.799999999999997">
      <c r="A1467" s="6">
        <v>43425.630729166667</v>
      </c>
      <c r="B1467" s="7" t="str">
        <f>HYPERLINK("https://twitter.com/FroilLannister","@FroilLannister")</f>
        <v>@FroilLannister</v>
      </c>
      <c r="C1467" s="8" t="s">
        <v>6678</v>
      </c>
      <c r="D1467" s="9" t="s">
        <v>6679</v>
      </c>
      <c r="E1467" s="10" t="str">
        <f>HYPERLINK("https://twitter.com/FroilLannister/status/1065381405901942784","1065381405901942784")</f>
        <v>1065381405901942784</v>
      </c>
      <c r="F1467" s="11"/>
      <c r="G1467" s="11"/>
      <c r="H1467" s="11"/>
      <c r="I1467" s="12">
        <v>83</v>
      </c>
      <c r="J1467" s="12">
        <v>277</v>
      </c>
      <c r="K1467" s="13" t="str">
        <f>HYPERLINK("http://twitter.com/download/iphone","Twitter for iPhone")</f>
        <v>Twitter for iPhone</v>
      </c>
      <c r="L1467" s="12">
        <v>34716</v>
      </c>
      <c r="M1467" s="12">
        <v>367</v>
      </c>
      <c r="N1467" s="12">
        <v>254</v>
      </c>
      <c r="O1467" s="15"/>
      <c r="P1467" s="6">
        <v>40022.081111111111</v>
      </c>
      <c r="Q1467" s="16" t="s">
        <v>28</v>
      </c>
      <c r="R1467" s="17" t="s">
        <v>6680</v>
      </c>
      <c r="S1467" s="14" t="s">
        <v>6681</v>
      </c>
      <c r="T1467" s="11"/>
      <c r="U1467" s="10" t="str">
        <f>HYPERLINK("https://pbs.twimg.com/profile_images/956967811280236544/O95sSr-k.jpg","View")</f>
        <v>View</v>
      </c>
    </row>
    <row r="1468" spans="1:21" ht="30.6">
      <c r="A1468" s="6">
        <v>43425.630104166667</v>
      </c>
      <c r="B1468" s="7" t="str">
        <f>HYPERLINK("https://twitter.com/castrocalo","@castrocalo")</f>
        <v>@castrocalo</v>
      </c>
      <c r="C1468" s="8" t="s">
        <v>6682</v>
      </c>
      <c r="D1468" s="9" t="s">
        <v>3816</v>
      </c>
      <c r="E1468" s="10" t="str">
        <f>HYPERLINK("https://twitter.com/castrocalo/status/1065381177832472577","1065381177832472577")</f>
        <v>1065381177832472577</v>
      </c>
      <c r="F1468" s="14" t="s">
        <v>3817</v>
      </c>
      <c r="G1468" s="11"/>
      <c r="H1468" s="11"/>
      <c r="I1468" s="12">
        <v>0</v>
      </c>
      <c r="J1468" s="12">
        <v>0</v>
      </c>
      <c r="K1468" s="13" t="str">
        <f>HYPERLINK("http://twitter.com","Twitter Web Client")</f>
        <v>Twitter Web Client</v>
      </c>
      <c r="L1468" s="12">
        <v>3038</v>
      </c>
      <c r="M1468" s="12">
        <v>2028</v>
      </c>
      <c r="N1468" s="12">
        <v>156</v>
      </c>
      <c r="O1468" s="15"/>
      <c r="P1468" s="6">
        <v>40588.062071759261</v>
      </c>
      <c r="Q1468" s="16" t="s">
        <v>6683</v>
      </c>
      <c r="R1468" s="17" t="s">
        <v>6684</v>
      </c>
      <c r="S1468" s="11"/>
      <c r="T1468" s="11"/>
      <c r="U1468" s="10" t="str">
        <f>HYPERLINK("https://pbs.twimg.com/profile_images/481213798859018240/eHODPDC4.jpeg","View")</f>
        <v>View</v>
      </c>
    </row>
    <row r="1469" spans="1:21" ht="81.599999999999994">
      <c r="A1469" s="6">
        <v>43425.629699074074</v>
      </c>
      <c r="B1469" s="7" t="str">
        <f>HYPERLINK("https://twitter.com/GuerraSuciaES","@GuerraSuciaES")</f>
        <v>@GuerraSuciaES</v>
      </c>
      <c r="C1469" s="8" t="s">
        <v>6685</v>
      </c>
      <c r="D1469" s="9" t="s">
        <v>6686</v>
      </c>
      <c r="E1469" s="10" t="str">
        <f>HYPERLINK("https://twitter.com/GuerraSuciaES/status/1065381033594503169","1065381033594503169")</f>
        <v>1065381033594503169</v>
      </c>
      <c r="F1469" s="14" t="s">
        <v>3662</v>
      </c>
      <c r="G1469" s="11"/>
      <c r="H1469" s="11"/>
      <c r="I1469" s="12">
        <v>12</v>
      </c>
      <c r="J1469" s="12">
        <v>21</v>
      </c>
      <c r="K1469" s="13" t="str">
        <f>HYPERLINK("http://twitter.com/download/android","Twitter for Android")</f>
        <v>Twitter for Android</v>
      </c>
      <c r="L1469" s="12">
        <v>11662</v>
      </c>
      <c r="M1469" s="12">
        <v>3937</v>
      </c>
      <c r="N1469" s="12">
        <v>92</v>
      </c>
      <c r="O1469" s="15"/>
      <c r="P1469" s="6">
        <v>42355.125752314816</v>
      </c>
      <c r="Q1469" s="11"/>
      <c r="R1469" s="17" t="s">
        <v>6687</v>
      </c>
      <c r="S1469" s="11"/>
      <c r="T1469" s="11"/>
      <c r="U1469" s="10" t="str">
        <f>HYPERLINK("https://pbs.twimg.com/profile_images/677443994046111744/V5F8gcTl.jpg","View")</f>
        <v>View</v>
      </c>
    </row>
    <row r="1470" spans="1:21" ht="71.400000000000006">
      <c r="A1470" s="6">
        <v>43425.627083333333</v>
      </c>
      <c r="B1470" s="7" t="str">
        <f>HYPERLINK("https://twitter.com/waleska0328","@waleska0328")</f>
        <v>@waleska0328</v>
      </c>
      <c r="C1470" s="8" t="s">
        <v>3414</v>
      </c>
      <c r="D1470" s="9" t="s">
        <v>3415</v>
      </c>
      <c r="E1470" s="10" t="str">
        <f>HYPERLINK("https://twitter.com/waleska0328/status/1065380085480472577","1065380085480472577")</f>
        <v>1065380085480472577</v>
      </c>
      <c r="F1470" s="14" t="s">
        <v>2356</v>
      </c>
      <c r="G1470" s="14" t="s">
        <v>2357</v>
      </c>
      <c r="H1470" s="11"/>
      <c r="I1470" s="12">
        <v>1</v>
      </c>
      <c r="J1470" s="12">
        <v>0</v>
      </c>
      <c r="K1470" s="13" t="str">
        <f>HYPERLINK("http://twitter.com/download/iphone","Twitter for iPhone")</f>
        <v>Twitter for iPhone</v>
      </c>
      <c r="L1470" s="12">
        <v>5274</v>
      </c>
      <c r="M1470" s="12">
        <v>5764</v>
      </c>
      <c r="N1470" s="12">
        <v>30</v>
      </c>
      <c r="O1470" s="15"/>
      <c r="P1470" s="6">
        <v>41686.491712962961</v>
      </c>
      <c r="Q1470" s="16" t="s">
        <v>3417</v>
      </c>
      <c r="R1470" s="17" t="s">
        <v>3418</v>
      </c>
      <c r="S1470" s="11"/>
      <c r="T1470" s="11"/>
      <c r="U1470" s="10" t="str">
        <f>HYPERLINK("https://pbs.twimg.com/profile_images/1065743389033787392/fkqcsxbC.jpg","View")</f>
        <v>View</v>
      </c>
    </row>
    <row r="1471" spans="1:21" ht="30.6">
      <c r="A1471" s="6">
        <v>43425.625439814816</v>
      </c>
      <c r="B1471" s="7" t="str">
        <f>HYPERLINK("https://twitter.com/pallaron12","@pallaron12")</f>
        <v>@pallaron12</v>
      </c>
      <c r="C1471" s="8" t="s">
        <v>6688</v>
      </c>
      <c r="D1471" s="9" t="s">
        <v>6689</v>
      </c>
      <c r="E1471" s="10" t="str">
        <f>HYPERLINK("https://twitter.com/pallaron12/status/1065379487729225731","1065379487729225731")</f>
        <v>1065379487729225731</v>
      </c>
      <c r="F1471" s="14" t="s">
        <v>6180</v>
      </c>
      <c r="G1471" s="11"/>
      <c r="H1471" s="11"/>
      <c r="I1471" s="12">
        <v>0</v>
      </c>
      <c r="J1471" s="12">
        <v>0</v>
      </c>
      <c r="K1471" s="13" t="str">
        <f>HYPERLINK("http://twitter.com/download/android","Twitter for Android")</f>
        <v>Twitter for Android</v>
      </c>
      <c r="L1471" s="12">
        <v>1412</v>
      </c>
      <c r="M1471" s="12">
        <v>501</v>
      </c>
      <c r="N1471" s="12">
        <v>10</v>
      </c>
      <c r="O1471" s="15"/>
      <c r="P1471" s="6">
        <v>41854.28634259259</v>
      </c>
      <c r="Q1471" s="16" t="s">
        <v>6690</v>
      </c>
      <c r="R1471" s="17" t="s">
        <v>6691</v>
      </c>
      <c r="S1471" s="11"/>
      <c r="T1471" s="11"/>
      <c r="U1471" s="10" t="str">
        <f>HYPERLINK("https://pbs.twimg.com/profile_images/1064713832633896961/NkwZ7D9D.jpg","View")</f>
        <v>View</v>
      </c>
    </row>
    <row r="1472" spans="1:21" ht="40.799999999999997">
      <c r="A1472" s="6">
        <v>43425.623969907407</v>
      </c>
      <c r="B1472" s="7" t="str">
        <f t="shared" ref="B1472:B1473" si="304">HYPERLINK("https://twitter.com/Peregrina7Bu","@Peregrina7Bu")</f>
        <v>@Peregrina7Bu</v>
      </c>
      <c r="C1472" s="8" t="s">
        <v>6692</v>
      </c>
      <c r="D1472" s="9" t="s">
        <v>6693</v>
      </c>
      <c r="E1472" s="10" t="str">
        <f>HYPERLINK("https://twitter.com/Peregrina7Bu/status/1065378955623104518","1065378955623104518")</f>
        <v>1065378955623104518</v>
      </c>
      <c r="F1472" s="14" t="s">
        <v>6694</v>
      </c>
      <c r="G1472" s="11"/>
      <c r="H1472" s="11"/>
      <c r="I1472" s="12">
        <v>0</v>
      </c>
      <c r="J1472" s="12">
        <v>0</v>
      </c>
      <c r="K1472" s="13" t="str">
        <f t="shared" ref="K1472:K1473" si="305">HYPERLINK("http://twitter.com","Twitter Web Client")</f>
        <v>Twitter Web Client</v>
      </c>
      <c r="L1472" s="12">
        <v>126</v>
      </c>
      <c r="M1472" s="12">
        <v>296</v>
      </c>
      <c r="N1472" s="12">
        <v>16</v>
      </c>
      <c r="O1472" s="15"/>
      <c r="P1472" s="6">
        <v>42558.627175925925</v>
      </c>
      <c r="Q1472" s="11"/>
      <c r="R1472" s="17" t="s">
        <v>6695</v>
      </c>
      <c r="S1472" s="11"/>
      <c r="T1472" s="11"/>
      <c r="U1472" s="10" t="str">
        <f t="shared" ref="U1472:U1473" si="306">HYPERLINK("https://pbs.twimg.com/profile_images/956673765663965184/onrgyj7Z.jpg","View")</f>
        <v>View</v>
      </c>
    </row>
    <row r="1473" spans="1:21" ht="40.799999999999997">
      <c r="A1473" s="6">
        <v>43425.623333333337</v>
      </c>
      <c r="B1473" s="7" t="str">
        <f t="shared" si="304"/>
        <v>@Peregrina7Bu</v>
      </c>
      <c r="C1473" s="8" t="s">
        <v>6692</v>
      </c>
      <c r="D1473" s="9" t="s">
        <v>6696</v>
      </c>
      <c r="E1473" s="10" t="str">
        <f>HYPERLINK("https://twitter.com/Peregrina7Bu/status/1065378723246104576","1065378723246104576")</f>
        <v>1065378723246104576</v>
      </c>
      <c r="F1473" s="16" t="s">
        <v>6697</v>
      </c>
      <c r="G1473" s="11"/>
      <c r="H1473" s="11"/>
      <c r="I1473" s="12">
        <v>0</v>
      </c>
      <c r="J1473" s="12">
        <v>0</v>
      </c>
      <c r="K1473" s="13" t="str">
        <f t="shared" si="305"/>
        <v>Twitter Web Client</v>
      </c>
      <c r="L1473" s="12">
        <v>126</v>
      </c>
      <c r="M1473" s="12">
        <v>296</v>
      </c>
      <c r="N1473" s="12">
        <v>16</v>
      </c>
      <c r="O1473" s="15"/>
      <c r="P1473" s="6">
        <v>42558.627175925925</v>
      </c>
      <c r="Q1473" s="11"/>
      <c r="R1473" s="17" t="s">
        <v>6695</v>
      </c>
      <c r="S1473" s="11"/>
      <c r="T1473" s="11"/>
      <c r="U1473" s="10" t="str">
        <f t="shared" si="306"/>
        <v>View</v>
      </c>
    </row>
    <row r="1474" spans="1:21" ht="40.799999999999997">
      <c r="A1474" s="6">
        <v>43425.622361111113</v>
      </c>
      <c r="B1474" s="7" t="str">
        <f>HYPERLINK("https://twitter.com/karlosggago","@karlosggago")</f>
        <v>@karlosggago</v>
      </c>
      <c r="C1474" s="8" t="s">
        <v>6698</v>
      </c>
      <c r="D1474" s="9" t="s">
        <v>6699</v>
      </c>
      <c r="E1474" s="10" t="str">
        <f>HYPERLINK("https://twitter.com/karlosggago/status/1065378371872440321","1065378371872440321")</f>
        <v>1065378371872440321</v>
      </c>
      <c r="F1474" s="16" t="s">
        <v>6700</v>
      </c>
      <c r="G1474" s="14" t="s">
        <v>6701</v>
      </c>
      <c r="H1474" s="11"/>
      <c r="I1474" s="12">
        <v>0</v>
      </c>
      <c r="J1474" s="12">
        <v>2</v>
      </c>
      <c r="K1474" s="13" t="str">
        <f t="shared" ref="K1474:K1475" si="307">HYPERLINK("http://twitter.com/download/android","Twitter for Android")</f>
        <v>Twitter for Android</v>
      </c>
      <c r="L1474" s="12">
        <v>755</v>
      </c>
      <c r="M1474" s="12">
        <v>300</v>
      </c>
      <c r="N1474" s="12">
        <v>35</v>
      </c>
      <c r="O1474" s="15"/>
      <c r="P1474" s="6">
        <v>39773.787592592591</v>
      </c>
      <c r="Q1474" s="16" t="s">
        <v>982</v>
      </c>
      <c r="R1474" s="17" t="s">
        <v>6702</v>
      </c>
      <c r="S1474" s="11"/>
      <c r="T1474" s="11"/>
      <c r="U1474" s="10" t="str">
        <f>HYPERLINK("https://pbs.twimg.com/profile_images/1065213936771969024/wXIXtOZF.jpg","View")</f>
        <v>View</v>
      </c>
    </row>
    <row r="1475" spans="1:21" ht="51">
      <c r="A1475" s="6">
        <v>43425.621296296296</v>
      </c>
      <c r="B1475" s="7" t="str">
        <f>HYPERLINK("https://twitter.com/MariaCalleSanti","@MariaCalleSanti")</f>
        <v>@MariaCalleSanti</v>
      </c>
      <c r="C1475" s="8" t="s">
        <v>3420</v>
      </c>
      <c r="D1475" s="9" t="s">
        <v>3421</v>
      </c>
      <c r="E1475" s="10" t="str">
        <f>HYPERLINK("https://twitter.com/MariaCalleSanti/status/1065377985132417025","1065377985132417025")</f>
        <v>1065377985132417025</v>
      </c>
      <c r="F1475" s="11"/>
      <c r="G1475" s="11"/>
      <c r="H1475" s="11"/>
      <c r="I1475" s="12">
        <v>0</v>
      </c>
      <c r="J1475" s="12">
        <v>1</v>
      </c>
      <c r="K1475" s="13" t="str">
        <f t="shared" si="307"/>
        <v>Twitter for Android</v>
      </c>
      <c r="L1475" s="12">
        <v>4303</v>
      </c>
      <c r="M1475" s="12">
        <v>4644</v>
      </c>
      <c r="N1475" s="12">
        <v>107</v>
      </c>
      <c r="O1475" s="15"/>
      <c r="P1475" s="6">
        <v>40713.473495370374</v>
      </c>
      <c r="Q1475" s="16" t="s">
        <v>38</v>
      </c>
      <c r="R1475" s="17" t="s">
        <v>3424</v>
      </c>
      <c r="S1475" s="11"/>
      <c r="T1475" s="11"/>
      <c r="U1475" s="10" t="str">
        <f>HYPERLINK("https://pbs.twimg.com/profile_images/1065673124430168064/x3fCsWjU.jpg","View")</f>
        <v>View</v>
      </c>
    </row>
    <row r="1476" spans="1:21" ht="20.399999999999999">
      <c r="A1476" s="6">
        <v>43425.619293981479</v>
      </c>
      <c r="B1476" s="7" t="str">
        <f>HYPERLINK("https://twitter.com/ML_DF","@ML_DF")</f>
        <v>@ML_DF</v>
      </c>
      <c r="C1476" s="8" t="s">
        <v>6703</v>
      </c>
      <c r="D1476" s="9" t="s">
        <v>6704</v>
      </c>
      <c r="E1476" s="10" t="str">
        <f>HYPERLINK("https://twitter.com/ML_DF/status/1065377259719135232","1065377259719135232")</f>
        <v>1065377259719135232</v>
      </c>
      <c r="F1476" s="11"/>
      <c r="G1476" s="11"/>
      <c r="H1476" s="11"/>
      <c r="I1476" s="12">
        <v>0</v>
      </c>
      <c r="J1476" s="12">
        <v>1</v>
      </c>
      <c r="K1476" s="13" t="str">
        <f>HYPERLINK("http://twitter.com/download/iphone","Twitter for iPhone")</f>
        <v>Twitter for iPhone</v>
      </c>
      <c r="L1476" s="12">
        <v>996</v>
      </c>
      <c r="M1476" s="12">
        <v>1101</v>
      </c>
      <c r="N1476" s="12">
        <v>27</v>
      </c>
      <c r="O1476" s="15"/>
      <c r="P1476" s="6">
        <v>40692.654456018521</v>
      </c>
      <c r="Q1476" s="16" t="s">
        <v>6705</v>
      </c>
      <c r="R1476" s="19"/>
      <c r="S1476" s="11"/>
      <c r="T1476" s="11"/>
      <c r="U1476" s="10" t="str">
        <f>HYPERLINK("https://pbs.twimg.com/profile_images/1062822754641174528/e3Rldlv6.jpg","View")</f>
        <v>View</v>
      </c>
    </row>
    <row r="1477" spans="1:21" ht="30.6">
      <c r="A1477" s="6">
        <v>43425.617256944446</v>
      </c>
      <c r="B1477" s="7" t="str">
        <f>HYPERLINK("https://twitter.com/El_SenyorS","@El_SenyorS")</f>
        <v>@El_SenyorS</v>
      </c>
      <c r="C1477" s="8" t="s">
        <v>3428</v>
      </c>
      <c r="D1477" s="9" t="s">
        <v>3429</v>
      </c>
      <c r="E1477" s="10" t="str">
        <f>HYPERLINK("https://twitter.com/El_SenyorS/status/1065376522293428224","1065376522293428224")</f>
        <v>1065376522293428224</v>
      </c>
      <c r="F1477" s="11"/>
      <c r="G1477" s="11"/>
      <c r="H1477" s="11"/>
      <c r="I1477" s="12">
        <v>0</v>
      </c>
      <c r="J1477" s="12">
        <v>5</v>
      </c>
      <c r="K1477" s="13" t="str">
        <f t="shared" ref="K1477:K1478" si="308">HYPERLINK("http://twitter.com/download/android","Twitter for Android")</f>
        <v>Twitter for Android</v>
      </c>
      <c r="L1477" s="12">
        <v>55</v>
      </c>
      <c r="M1477" s="12">
        <v>81</v>
      </c>
      <c r="N1477" s="12">
        <v>1</v>
      </c>
      <c r="O1477" s="15"/>
      <c r="P1477" s="6">
        <v>41524.114849537036</v>
      </c>
      <c r="Q1477" s="11"/>
      <c r="R1477" s="17" t="s">
        <v>3430</v>
      </c>
      <c r="S1477" s="14" t="s">
        <v>3431</v>
      </c>
      <c r="T1477" s="11"/>
      <c r="U1477" s="10" t="str">
        <f>HYPERLINK("https://pbs.twimg.com/profile_images/378800000428746418/6f19fc1c5cf2de30957ad8532d244546.jpeg","View")</f>
        <v>View</v>
      </c>
    </row>
    <row r="1478" spans="1:21" ht="30.6">
      <c r="A1478" s="6">
        <v>43425.617060185185</v>
      </c>
      <c r="B1478" s="7" t="str">
        <f>HYPERLINK("https://twitter.com/Zurro_85","@Zurro_85")</f>
        <v>@Zurro_85</v>
      </c>
      <c r="C1478" s="8" t="s">
        <v>3432</v>
      </c>
      <c r="D1478" s="9" t="s">
        <v>3433</v>
      </c>
      <c r="E1478" s="10" t="str">
        <f>HYPERLINK("https://twitter.com/Zurro_85/status/1065376452890279937","1065376452890279937")</f>
        <v>1065376452890279937</v>
      </c>
      <c r="F1478" s="11"/>
      <c r="G1478" s="14" t="s">
        <v>3434</v>
      </c>
      <c r="H1478" s="11"/>
      <c r="I1478" s="12">
        <v>0</v>
      </c>
      <c r="J1478" s="12">
        <v>0</v>
      </c>
      <c r="K1478" s="13" t="str">
        <f t="shared" si="308"/>
        <v>Twitter for Android</v>
      </c>
      <c r="L1478" s="12">
        <v>3326</v>
      </c>
      <c r="M1478" s="12">
        <v>2626</v>
      </c>
      <c r="N1478" s="12">
        <v>88</v>
      </c>
      <c r="O1478" s="15"/>
      <c r="P1478" s="6">
        <v>40511.643541666665</v>
      </c>
      <c r="Q1478" s="16" t="s">
        <v>87</v>
      </c>
      <c r="R1478" s="17" t="s">
        <v>3435</v>
      </c>
      <c r="S1478" s="11"/>
      <c r="T1478" s="11"/>
      <c r="U1478" s="10" t="str">
        <f>HYPERLINK("https://pbs.twimg.com/profile_images/873865852176695296/SzQoKFD9.jpg","View")</f>
        <v>View</v>
      </c>
    </row>
    <row r="1479" spans="1:21" ht="20.399999999999999">
      <c r="A1479" s="6">
        <v>43425.615231481483</v>
      </c>
      <c r="B1479" s="7" t="str">
        <f>HYPERLINK("https://twitter.com/paranormaniac","@paranormaniac")</f>
        <v>@paranormaniac</v>
      </c>
      <c r="C1479" s="8" t="s">
        <v>6706</v>
      </c>
      <c r="D1479" s="9" t="s">
        <v>6707</v>
      </c>
      <c r="E1479" s="10" t="str">
        <f>HYPERLINK("https://twitter.com/paranormaniac/status/1065375788281810946","1065375788281810946")</f>
        <v>1065375788281810946</v>
      </c>
      <c r="F1479" s="11"/>
      <c r="G1479" s="14" t="s">
        <v>6708</v>
      </c>
      <c r="H1479" s="11"/>
      <c r="I1479" s="12">
        <v>0</v>
      </c>
      <c r="J1479" s="12">
        <v>0</v>
      </c>
      <c r="K1479" s="13" t="str">
        <f>HYPERLINK("http://twitter.com","Twitter Web Client")</f>
        <v>Twitter Web Client</v>
      </c>
      <c r="L1479" s="12">
        <v>1371</v>
      </c>
      <c r="M1479" s="12">
        <v>945</v>
      </c>
      <c r="N1479" s="12">
        <v>11</v>
      </c>
      <c r="O1479" s="15"/>
      <c r="P1479" s="6">
        <v>42655.782581018517</v>
      </c>
      <c r="Q1479" s="11"/>
      <c r="R1479" s="17" t="s">
        <v>6709</v>
      </c>
      <c r="S1479" s="11"/>
      <c r="T1479" s="11"/>
      <c r="U1479" s="10" t="str">
        <f>HYPERLINK("https://pbs.twimg.com/profile_images/1063472555305005056/3AdbBTEQ.jpg","View")</f>
        <v>View</v>
      </c>
    </row>
    <row r="1480" spans="1:21" ht="20.399999999999999">
      <c r="A1480" s="6">
        <v>43425.612430555557</v>
      </c>
      <c r="B1480" s="7" t="str">
        <f>HYPERLINK("https://twitter.com/joanlluis","@joanlluis")</f>
        <v>@joanlluis</v>
      </c>
      <c r="C1480" s="8" t="s">
        <v>863</v>
      </c>
      <c r="D1480" s="9" t="s">
        <v>4776</v>
      </c>
      <c r="E1480" s="10" t="str">
        <f>HYPERLINK("https://twitter.com/joanlluis/status/1065374775542013955","1065374775542013955")</f>
        <v>1065374775542013955</v>
      </c>
      <c r="F1480" s="14" t="s">
        <v>4778</v>
      </c>
      <c r="G1480" s="11"/>
      <c r="H1480" s="11"/>
      <c r="I1480" s="12">
        <v>0</v>
      </c>
      <c r="J1480" s="12">
        <v>0</v>
      </c>
      <c r="K1480" s="13" t="str">
        <f>HYPERLINK("https://www.google.com/","Google")</f>
        <v>Google</v>
      </c>
      <c r="L1480" s="12">
        <v>1067</v>
      </c>
      <c r="M1480" s="12">
        <v>2052</v>
      </c>
      <c r="N1480" s="12">
        <v>25</v>
      </c>
      <c r="O1480" s="15"/>
      <c r="P1480" s="6">
        <v>39929.151296296295</v>
      </c>
      <c r="Q1480" s="16" t="s">
        <v>866</v>
      </c>
      <c r="R1480" s="17" t="s">
        <v>867</v>
      </c>
      <c r="S1480" s="14" t="s">
        <v>868</v>
      </c>
      <c r="T1480" s="11"/>
      <c r="U1480" s="10" t="str">
        <f>HYPERLINK("https://pbs.twimg.com/profile_images/1011016777772519425/D56tjl6Z.jpg","View")</f>
        <v>View</v>
      </c>
    </row>
    <row r="1481" spans="1:21" ht="40.799999999999997">
      <c r="A1481" s="6">
        <v>43425.612245370372</v>
      </c>
      <c r="B1481" s="7" t="str">
        <f>HYPERLINK("https://twitter.com/oscargluengos","@oscargluengos")</f>
        <v>@oscargluengos</v>
      </c>
      <c r="C1481" s="8" t="s">
        <v>3438</v>
      </c>
      <c r="D1481" s="9" t="s">
        <v>3439</v>
      </c>
      <c r="E1481" s="10" t="str">
        <f>HYPERLINK("https://twitter.com/oscargluengos/status/1065374708181417984","1065374708181417984")</f>
        <v>1065374708181417984</v>
      </c>
      <c r="F1481" s="11"/>
      <c r="G1481" s="11"/>
      <c r="H1481" s="11"/>
      <c r="I1481" s="12">
        <v>0</v>
      </c>
      <c r="J1481" s="12">
        <v>0</v>
      </c>
      <c r="K1481" s="13" t="str">
        <f>HYPERLINK("http://twitter.com/download/android","Twitter for Android")</f>
        <v>Twitter for Android</v>
      </c>
      <c r="L1481" s="12">
        <v>176</v>
      </c>
      <c r="M1481" s="12">
        <v>517</v>
      </c>
      <c r="N1481" s="12">
        <v>1</v>
      </c>
      <c r="O1481" s="15"/>
      <c r="P1481" s="6">
        <v>40612.30914351852</v>
      </c>
      <c r="Q1481" s="16" t="s">
        <v>3440</v>
      </c>
      <c r="R1481" s="17" t="s">
        <v>3441</v>
      </c>
      <c r="S1481" s="11"/>
      <c r="T1481" s="11"/>
      <c r="U1481" s="10" t="str">
        <f>HYPERLINK("https://pbs.twimg.com/profile_images/1037106696806707202/-8XKBInb.jpg","View")</f>
        <v>View</v>
      </c>
    </row>
    <row r="1482" spans="1:21" ht="40.799999999999997">
      <c r="A1482" s="6">
        <v>43425.611481481479</v>
      </c>
      <c r="B1482" s="7" t="str">
        <f>HYPERLINK("https://twitter.com/PACIFICADOR2040","@PACIFICADOR2040")</f>
        <v>@PACIFICADOR2040</v>
      </c>
      <c r="C1482" s="8" t="s">
        <v>3442</v>
      </c>
      <c r="D1482" s="9" t="s">
        <v>3443</v>
      </c>
      <c r="E1482" s="10" t="str">
        <f>HYPERLINK("https://twitter.com/PACIFICADOR2040/status/1065374431575449601","1065374431575449601")</f>
        <v>1065374431575449601</v>
      </c>
      <c r="F1482" s="11"/>
      <c r="G1482" s="14" t="s">
        <v>3446</v>
      </c>
      <c r="H1482" s="11"/>
      <c r="I1482" s="12">
        <v>2</v>
      </c>
      <c r="J1482" s="12">
        <v>1</v>
      </c>
      <c r="K1482" s="13" t="str">
        <f>HYPERLINK("http://twitter.com","Twitter Web Client")</f>
        <v>Twitter Web Client</v>
      </c>
      <c r="L1482" s="12">
        <v>11101</v>
      </c>
      <c r="M1482" s="12">
        <v>492</v>
      </c>
      <c r="N1482" s="12">
        <v>179</v>
      </c>
      <c r="O1482" s="15"/>
      <c r="P1482" s="6">
        <v>41617.074282407411</v>
      </c>
      <c r="Q1482" s="16" t="s">
        <v>3448</v>
      </c>
      <c r="R1482" s="17" t="s">
        <v>3450</v>
      </c>
      <c r="S1482" s="11"/>
      <c r="T1482" s="11"/>
      <c r="U1482" s="10" t="str">
        <f>HYPERLINK("https://pbs.twimg.com/profile_images/1062954462271234048/JxrQHToo.jpg","View")</f>
        <v>View</v>
      </c>
    </row>
    <row r="1483" spans="1:21" ht="40.799999999999997">
      <c r="A1483" s="6">
        <v>43425.610856481479</v>
      </c>
      <c r="B1483" s="7" t="str">
        <f>HYPERLINK("https://twitter.com/guzlomi","@guzlomi")</f>
        <v>@guzlomi</v>
      </c>
      <c r="C1483" s="8" t="s">
        <v>3452</v>
      </c>
      <c r="D1483" s="9" t="s">
        <v>3453</v>
      </c>
      <c r="E1483" s="10" t="str">
        <f>HYPERLINK("https://twitter.com/guzlomi/status/1065374202662916096","1065374202662916096")</f>
        <v>1065374202662916096</v>
      </c>
      <c r="F1483" s="16" t="s">
        <v>3454</v>
      </c>
      <c r="G1483" s="11"/>
      <c r="H1483" s="11"/>
      <c r="I1483" s="12">
        <v>0</v>
      </c>
      <c r="J1483" s="12">
        <v>0</v>
      </c>
      <c r="K1483" s="13" t="str">
        <f>HYPERLINK("http://twitter.com/download/iphone","Twitter for iPhone")</f>
        <v>Twitter for iPhone</v>
      </c>
      <c r="L1483" s="12">
        <v>780</v>
      </c>
      <c r="M1483" s="12">
        <v>1168</v>
      </c>
      <c r="N1483" s="12">
        <v>122</v>
      </c>
      <c r="O1483" s="15"/>
      <c r="P1483" s="6">
        <v>41911.356481481482</v>
      </c>
      <c r="Q1483" s="16" t="s">
        <v>93</v>
      </c>
      <c r="R1483" s="17" t="s">
        <v>3458</v>
      </c>
      <c r="S1483" s="11"/>
      <c r="T1483" s="11"/>
      <c r="U1483" s="10" t="str">
        <f>HYPERLINK("https://pbs.twimg.com/profile_images/630762414137581568/MHH97iqc.png","View")</f>
        <v>View</v>
      </c>
    </row>
    <row r="1484" spans="1:21" ht="40.799999999999997">
      <c r="A1484" s="6">
        <v>43425.610763888893</v>
      </c>
      <c r="B1484" s="7" t="str">
        <f>HYPERLINK("https://twitter.com/PaleografoLover","@PaleografoLover")</f>
        <v>@PaleografoLover</v>
      </c>
      <c r="C1484" s="8" t="s">
        <v>6710</v>
      </c>
      <c r="D1484" s="9" t="s">
        <v>6711</v>
      </c>
      <c r="E1484" s="10" t="str">
        <f>HYPERLINK("https://twitter.com/PaleografoLover/status/1065374168185823237","1065374168185823237")</f>
        <v>1065374168185823237</v>
      </c>
      <c r="F1484" s="11"/>
      <c r="G1484" s="14" t="s">
        <v>6712</v>
      </c>
      <c r="H1484" s="11"/>
      <c r="I1484" s="12">
        <v>0</v>
      </c>
      <c r="J1484" s="12">
        <v>0</v>
      </c>
      <c r="K1484" s="13" t="str">
        <f>HYPERLINK("http://twitter.com/download/android","Twitter for Android")</f>
        <v>Twitter for Android</v>
      </c>
      <c r="L1484" s="12">
        <v>59</v>
      </c>
      <c r="M1484" s="12">
        <v>97</v>
      </c>
      <c r="N1484" s="12">
        <v>0</v>
      </c>
      <c r="O1484" s="15"/>
      <c r="P1484" s="6">
        <v>41037.516944444447</v>
      </c>
      <c r="Q1484" s="16" t="s">
        <v>6713</v>
      </c>
      <c r="R1484" s="17" t="s">
        <v>6714</v>
      </c>
      <c r="S1484" s="11"/>
      <c r="T1484" s="11"/>
      <c r="U1484" s="10" t="str">
        <f>HYPERLINK("https://pbs.twimg.com/profile_images/1042463293640724482/Qi8qFTsu.jpg","View")</f>
        <v>View</v>
      </c>
    </row>
    <row r="1485" spans="1:21" ht="61.2">
      <c r="A1485" s="6">
        <v>43425.609942129631</v>
      </c>
      <c r="B1485" s="7" t="str">
        <f>HYPERLINK("https://twitter.com/facultad_2","@facultad_2")</f>
        <v>@facultad_2</v>
      </c>
      <c r="C1485" s="8" t="s">
        <v>3459</v>
      </c>
      <c r="D1485" s="9" t="s">
        <v>3461</v>
      </c>
      <c r="E1485" s="10" t="str">
        <f>HYPERLINK("https://twitter.com/facultad_2/status/1065373872978055170","1065373872978055170")</f>
        <v>1065373872978055170</v>
      </c>
      <c r="F1485" s="11"/>
      <c r="G1485" s="11"/>
      <c r="H1485" s="11"/>
      <c r="I1485" s="12">
        <v>0</v>
      </c>
      <c r="J1485" s="12">
        <v>0</v>
      </c>
      <c r="K1485" s="13" t="str">
        <f>HYPERLINK("http://twitter.com","Twitter Web Client")</f>
        <v>Twitter Web Client</v>
      </c>
      <c r="L1485" s="12">
        <v>7</v>
      </c>
      <c r="M1485" s="12">
        <v>38</v>
      </c>
      <c r="N1485" s="12">
        <v>0</v>
      </c>
      <c r="O1485" s="15"/>
      <c r="P1485" s="6">
        <v>43424.251504629632</v>
      </c>
      <c r="Q1485" s="16" t="s">
        <v>3463</v>
      </c>
      <c r="R1485" s="17" t="s">
        <v>3464</v>
      </c>
      <c r="S1485" s="14" t="s">
        <v>3465</v>
      </c>
      <c r="T1485" s="11"/>
      <c r="U1485" s="10" t="str">
        <f>HYPERLINK("https://pbs.twimg.com/profile_images/1064882722814877697/0p3ao7eq.jpg","View")</f>
        <v>View</v>
      </c>
    </row>
    <row r="1486" spans="1:21" ht="30.6">
      <c r="A1486" s="6">
        <v>43425.607604166667</v>
      </c>
      <c r="B1486" s="7" t="str">
        <f>HYPERLINK("https://twitter.com/Peter_Cantropo","@Peter_Cantropo")</f>
        <v>@Peter_Cantropo</v>
      </c>
      <c r="C1486" s="8" t="s">
        <v>6715</v>
      </c>
      <c r="D1486" s="9" t="s">
        <v>6716</v>
      </c>
      <c r="E1486" s="10" t="str">
        <f>HYPERLINK("https://twitter.com/Peter_Cantropo/status/1065373024260710402","1065373024260710402")</f>
        <v>1065373024260710402</v>
      </c>
      <c r="F1486" s="11"/>
      <c r="G1486" s="11"/>
      <c r="H1486" s="11"/>
      <c r="I1486" s="12">
        <v>0</v>
      </c>
      <c r="J1486" s="12">
        <v>0</v>
      </c>
      <c r="K1486" s="13" t="str">
        <f>HYPERLINK("https://about.twitter.com/products/tweetdeck","TweetDeck")</f>
        <v>TweetDeck</v>
      </c>
      <c r="L1486" s="12">
        <v>66</v>
      </c>
      <c r="M1486" s="12">
        <v>274</v>
      </c>
      <c r="N1486" s="12">
        <v>0</v>
      </c>
      <c r="O1486" s="15"/>
      <c r="P1486" s="6">
        <v>43130.52342592593</v>
      </c>
      <c r="Q1486" s="16" t="s">
        <v>6717</v>
      </c>
      <c r="R1486" s="17" t="s">
        <v>6718</v>
      </c>
      <c r="S1486" s="11"/>
      <c r="T1486" s="11"/>
      <c r="U1486" s="10" t="str">
        <f>HYPERLINK("https://pbs.twimg.com/profile_images/958485002374787074/uY2_maia.jpg","View")</f>
        <v>View</v>
      </c>
    </row>
    <row r="1487" spans="1:21" ht="13.2">
      <c r="A1487" s="6">
        <v>43425.606689814813</v>
      </c>
      <c r="B1487" s="7" t="str">
        <f>HYPERLINK("https://twitter.com/VichoxxHappy","@VichoxxHappy")</f>
        <v>@VichoxxHappy</v>
      </c>
      <c r="C1487" s="8" t="s">
        <v>6719</v>
      </c>
      <c r="D1487" s="9" t="s">
        <v>6720</v>
      </c>
      <c r="E1487" s="10" t="str">
        <f>HYPERLINK("https://twitter.com/VichoxxHappy/status/1065372691673300992","1065372691673300992")</f>
        <v>1065372691673300992</v>
      </c>
      <c r="F1487" s="14" t="s">
        <v>6721</v>
      </c>
      <c r="G1487" s="11"/>
      <c r="H1487" s="11"/>
      <c r="I1487" s="12">
        <v>0</v>
      </c>
      <c r="J1487" s="12">
        <v>0</v>
      </c>
      <c r="K1487" s="13" t="str">
        <f>HYPERLINK("https://www.google.com/","Google")</f>
        <v>Google</v>
      </c>
      <c r="L1487" s="12">
        <v>15</v>
      </c>
      <c r="M1487" s="12">
        <v>77</v>
      </c>
      <c r="N1487" s="12">
        <v>0</v>
      </c>
      <c r="O1487" s="15"/>
      <c r="P1487" s="6">
        <v>41894.740706018521</v>
      </c>
      <c r="Q1487" s="16" t="s">
        <v>241</v>
      </c>
      <c r="R1487" s="19"/>
      <c r="S1487" s="11"/>
      <c r="T1487" s="11"/>
      <c r="U1487" s="10" t="str">
        <f>HYPERLINK("https://pbs.twimg.com/profile_images/983142718875537408/qa5rGjxM.jpg","View")</f>
        <v>View</v>
      </c>
    </row>
    <row r="1488" spans="1:21" ht="20.399999999999999">
      <c r="A1488" s="6">
        <v>43425.605613425927</v>
      </c>
      <c r="B1488" s="7" t="str">
        <f>HYPERLINK("https://twitter.com/Barcelona862001","@Barcelona862001")</f>
        <v>@Barcelona862001</v>
      </c>
      <c r="C1488" s="8" t="s">
        <v>6722</v>
      </c>
      <c r="D1488" s="9" t="s">
        <v>6723</v>
      </c>
      <c r="E1488" s="10" t="str">
        <f>HYPERLINK("https://twitter.com/Barcelona862001/status/1065372304669122560","1065372304669122560")</f>
        <v>1065372304669122560</v>
      </c>
      <c r="F1488" s="11"/>
      <c r="G1488" s="11"/>
      <c r="H1488" s="11"/>
      <c r="I1488" s="12">
        <v>0</v>
      </c>
      <c r="J1488" s="12">
        <v>0</v>
      </c>
      <c r="K1488" s="13" t="str">
        <f t="shared" ref="K1488:K1489" si="309">HYPERLINK("http://twitter.com/download/android","Twitter for Android")</f>
        <v>Twitter for Android</v>
      </c>
      <c r="L1488" s="12">
        <v>20</v>
      </c>
      <c r="M1488" s="12">
        <v>191</v>
      </c>
      <c r="N1488" s="12">
        <v>0</v>
      </c>
      <c r="O1488" s="15"/>
      <c r="P1488" s="6">
        <v>43121.479490740741</v>
      </c>
      <c r="Q1488" s="11"/>
      <c r="R1488" s="17" t="s">
        <v>6724</v>
      </c>
      <c r="S1488" s="11"/>
      <c r="T1488" s="11"/>
      <c r="U1488" s="10" t="str">
        <f>HYPERLINK("https://pbs.twimg.com/profile_images/1063926950442532864/EdGKEJ3j.jpg","View")</f>
        <v>View</v>
      </c>
    </row>
    <row r="1489" spans="1:21" ht="51">
      <c r="A1489" s="6">
        <v>43425.604675925926</v>
      </c>
      <c r="B1489" s="7" t="str">
        <f>HYPERLINK("https://twitter.com/Bosnio78EL","@Bosnio78EL")</f>
        <v>@Bosnio78EL</v>
      </c>
      <c r="C1489" s="8" t="s">
        <v>3469</v>
      </c>
      <c r="D1489" s="9" t="s">
        <v>3470</v>
      </c>
      <c r="E1489" s="10" t="str">
        <f>HYPERLINK("https://twitter.com/Bosnio78EL/status/1065371965601603586","1065371965601603586")</f>
        <v>1065371965601603586</v>
      </c>
      <c r="F1489" s="11"/>
      <c r="G1489" s="11"/>
      <c r="H1489" s="11"/>
      <c r="I1489" s="12">
        <v>0</v>
      </c>
      <c r="J1489" s="12">
        <v>0</v>
      </c>
      <c r="K1489" s="13" t="str">
        <f t="shared" si="309"/>
        <v>Twitter for Android</v>
      </c>
      <c r="L1489" s="12">
        <v>47</v>
      </c>
      <c r="M1489" s="12">
        <v>202</v>
      </c>
      <c r="N1489" s="12">
        <v>0</v>
      </c>
      <c r="O1489" s="15"/>
      <c r="P1489" s="6">
        <v>41670.417407407411</v>
      </c>
      <c r="Q1489" s="11"/>
      <c r="R1489" s="19"/>
      <c r="S1489" s="11"/>
      <c r="T1489" s="11"/>
      <c r="U1489" s="10" t="str">
        <f>HYPERLINK("https://pbs.twimg.com/profile_images/917129243548639232/7KkW0DJ8.jpg","View")</f>
        <v>View</v>
      </c>
    </row>
    <row r="1490" spans="1:21" ht="40.799999999999997">
      <c r="A1490" s="6">
        <v>43425.603460648148</v>
      </c>
      <c r="B1490" s="7" t="str">
        <f>HYPERLINK("https://twitter.com/Yatellamosieso","@Yatellamosieso")</f>
        <v>@Yatellamosieso</v>
      </c>
      <c r="C1490" s="8" t="s">
        <v>6725</v>
      </c>
      <c r="D1490" s="9" t="s">
        <v>6726</v>
      </c>
      <c r="E1490" s="10" t="str">
        <f>HYPERLINK("https://twitter.com/Yatellamosieso/status/1065371523765161985","1065371523765161985")</f>
        <v>1065371523765161985</v>
      </c>
      <c r="F1490" s="11"/>
      <c r="G1490" s="11"/>
      <c r="H1490" s="11"/>
      <c r="I1490" s="12">
        <v>0</v>
      </c>
      <c r="J1490" s="12">
        <v>0</v>
      </c>
      <c r="K1490" s="13" t="str">
        <f>HYPERLINK("http://twitter.com/#!/download/ipad","Twitter for iPad")</f>
        <v>Twitter for iPad</v>
      </c>
      <c r="L1490" s="12">
        <v>289</v>
      </c>
      <c r="M1490" s="12">
        <v>1371</v>
      </c>
      <c r="N1490" s="12">
        <v>6</v>
      </c>
      <c r="O1490" s="15"/>
      <c r="P1490" s="6">
        <v>41940.131967592592</v>
      </c>
      <c r="Q1490" s="16" t="s">
        <v>68</v>
      </c>
      <c r="R1490" s="19"/>
      <c r="S1490" s="11"/>
      <c r="T1490" s="11"/>
      <c r="U1490" s="10" t="str">
        <f>HYPERLINK("https://pbs.twimg.com/profile_images/820566856041893888/VMQj_H64.jpg","View")</f>
        <v>View</v>
      </c>
    </row>
    <row r="1491" spans="1:21" ht="30.6">
      <c r="A1491" s="6">
        <v>43425.601608796293</v>
      </c>
      <c r="B1491" s="7" t="str">
        <f>HYPERLINK("https://twitter.com/kike1977pelu","@kike1977pelu")</f>
        <v>@kike1977pelu</v>
      </c>
      <c r="C1491" s="8" t="s">
        <v>6727</v>
      </c>
      <c r="D1491" s="9" t="s">
        <v>6728</v>
      </c>
      <c r="E1491" s="10" t="str">
        <f>HYPERLINK("https://twitter.com/kike1977pelu/status/1065370850692608001","1065370850692608001")</f>
        <v>1065370850692608001</v>
      </c>
      <c r="F1491" s="11"/>
      <c r="G1491" s="14" t="s">
        <v>6729</v>
      </c>
      <c r="H1491" s="11"/>
      <c r="I1491" s="12">
        <v>1</v>
      </c>
      <c r="J1491" s="12">
        <v>0</v>
      </c>
      <c r="K1491" s="13" t="str">
        <f t="shared" ref="K1491:K1496" si="310">HYPERLINK("http://twitter.com/download/android","Twitter for Android")</f>
        <v>Twitter for Android</v>
      </c>
      <c r="L1491" s="12">
        <v>310</v>
      </c>
      <c r="M1491" s="12">
        <v>259</v>
      </c>
      <c r="N1491" s="12">
        <v>0</v>
      </c>
      <c r="O1491" s="15"/>
      <c r="P1491" s="6">
        <v>40557.077650462961</v>
      </c>
      <c r="Q1491" s="11"/>
      <c r="R1491" s="17" t="s">
        <v>6730</v>
      </c>
      <c r="S1491" s="11"/>
      <c r="T1491" s="11"/>
      <c r="U1491" s="10" t="str">
        <f>HYPERLINK("https://pbs.twimg.com/profile_images/1047685101570723841/wghlh0hj.jpg","View")</f>
        <v>View</v>
      </c>
    </row>
    <row r="1492" spans="1:21" ht="40.799999999999997">
      <c r="A1492" s="6">
        <v>43425.599895833337</v>
      </c>
      <c r="B1492" s="7" t="str">
        <f>HYPERLINK("https://twitter.com/PICETER","@PICETER")</f>
        <v>@PICETER</v>
      </c>
      <c r="C1492" s="8" t="s">
        <v>6731</v>
      </c>
      <c r="D1492" s="9" t="s">
        <v>6732</v>
      </c>
      <c r="E1492" s="10" t="str">
        <f>HYPERLINK("https://twitter.com/PICETER/status/1065370231151964166","1065370231151964166")</f>
        <v>1065370231151964166</v>
      </c>
      <c r="F1492" s="11"/>
      <c r="G1492" s="11"/>
      <c r="H1492" s="11"/>
      <c r="I1492" s="12">
        <v>2</v>
      </c>
      <c r="J1492" s="12">
        <v>8</v>
      </c>
      <c r="K1492" s="13" t="str">
        <f t="shared" si="310"/>
        <v>Twitter for Android</v>
      </c>
      <c r="L1492" s="12">
        <v>507</v>
      </c>
      <c r="M1492" s="12">
        <v>609</v>
      </c>
      <c r="N1492" s="12">
        <v>1</v>
      </c>
      <c r="O1492" s="15"/>
      <c r="P1492" s="6">
        <v>40972.288148148145</v>
      </c>
      <c r="Q1492" s="16" t="s">
        <v>6733</v>
      </c>
      <c r="R1492" s="17" t="s">
        <v>6734</v>
      </c>
      <c r="S1492" s="14" t="s">
        <v>6735</v>
      </c>
      <c r="T1492" s="11"/>
      <c r="U1492" s="10" t="str">
        <f>HYPERLINK("https://pbs.twimg.com/profile_images/1930085925/tormenta_1.jpg","View")</f>
        <v>View</v>
      </c>
    </row>
    <row r="1493" spans="1:21" ht="30.6">
      <c r="A1493" s="6">
        <v>43425.599780092598</v>
      </c>
      <c r="B1493" s="7" t="str">
        <f>HYPERLINK("https://twitter.com/randallvegaCRR","@randallvegaCRR")</f>
        <v>@randallvegaCRR</v>
      </c>
      <c r="C1493" s="8" t="s">
        <v>3471</v>
      </c>
      <c r="D1493" s="9" t="s">
        <v>3472</v>
      </c>
      <c r="E1493" s="10" t="str">
        <f>HYPERLINK("https://twitter.com/randallvegaCRR/status/1065370189993295873","1065370189993295873")</f>
        <v>1065370189993295873</v>
      </c>
      <c r="F1493" s="11"/>
      <c r="G1493" s="14" t="s">
        <v>3473</v>
      </c>
      <c r="H1493" s="11"/>
      <c r="I1493" s="12">
        <v>0</v>
      </c>
      <c r="J1493" s="12">
        <v>1</v>
      </c>
      <c r="K1493" s="13" t="str">
        <f t="shared" si="310"/>
        <v>Twitter for Android</v>
      </c>
      <c r="L1493" s="12">
        <v>1267</v>
      </c>
      <c r="M1493" s="12">
        <v>827</v>
      </c>
      <c r="N1493" s="12">
        <v>7</v>
      </c>
      <c r="O1493" s="15"/>
      <c r="P1493" s="6">
        <v>40486.514467592591</v>
      </c>
      <c r="Q1493" s="16" t="s">
        <v>3474</v>
      </c>
      <c r="R1493" s="17" t="s">
        <v>3475</v>
      </c>
      <c r="S1493" s="14" t="s">
        <v>3476</v>
      </c>
      <c r="T1493" s="11"/>
      <c r="U1493" s="10" t="str">
        <f>HYPERLINK("https://pbs.twimg.com/profile_images/956001775558983680/u-rxC2vL.jpg","View")</f>
        <v>View</v>
      </c>
    </row>
    <row r="1494" spans="1:21" ht="30.6">
      <c r="A1494" s="6">
        <v>43425.598877314813</v>
      </c>
      <c r="B1494" s="7" t="str">
        <f>HYPERLINK("https://twitter.com/kike1977pelu","@kike1977pelu")</f>
        <v>@kike1977pelu</v>
      </c>
      <c r="C1494" s="8" t="s">
        <v>6727</v>
      </c>
      <c r="D1494" s="9" t="s">
        <v>6736</v>
      </c>
      <c r="E1494" s="10" t="str">
        <f>HYPERLINK("https://twitter.com/kike1977pelu/status/1065369863252783106","1065369863252783106")</f>
        <v>1065369863252783106</v>
      </c>
      <c r="F1494" s="11"/>
      <c r="G1494" s="14" t="s">
        <v>6737</v>
      </c>
      <c r="H1494" s="11"/>
      <c r="I1494" s="12">
        <v>1</v>
      </c>
      <c r="J1494" s="12">
        <v>0</v>
      </c>
      <c r="K1494" s="13" t="str">
        <f t="shared" si="310"/>
        <v>Twitter for Android</v>
      </c>
      <c r="L1494" s="12">
        <v>310</v>
      </c>
      <c r="M1494" s="12">
        <v>259</v>
      </c>
      <c r="N1494" s="12">
        <v>0</v>
      </c>
      <c r="O1494" s="15"/>
      <c r="P1494" s="6">
        <v>40557.077650462961</v>
      </c>
      <c r="Q1494" s="11"/>
      <c r="R1494" s="17" t="s">
        <v>6730</v>
      </c>
      <c r="S1494" s="11"/>
      <c r="T1494" s="11"/>
      <c r="U1494" s="10" t="str">
        <f>HYPERLINK("https://pbs.twimg.com/profile_images/1047685101570723841/wghlh0hj.jpg","View")</f>
        <v>View</v>
      </c>
    </row>
    <row r="1495" spans="1:21" ht="30.6">
      <c r="A1495" s="6">
        <v>43425.598321759258</v>
      </c>
      <c r="B1495" s="7" t="str">
        <f>HYPERLINK("https://twitter.com/Jafonti1","@Jafonti1")</f>
        <v>@Jafonti1</v>
      </c>
      <c r="C1495" s="8" t="s">
        <v>6738</v>
      </c>
      <c r="D1495" s="9" t="s">
        <v>6739</v>
      </c>
      <c r="E1495" s="10" t="str">
        <f>HYPERLINK("https://twitter.com/Jafonti1/status/1065369661838188545","1065369661838188545")</f>
        <v>1065369661838188545</v>
      </c>
      <c r="F1495" s="11"/>
      <c r="G1495" s="11"/>
      <c r="H1495" s="11"/>
      <c r="I1495" s="12">
        <v>0</v>
      </c>
      <c r="J1495" s="12">
        <v>0</v>
      </c>
      <c r="K1495" s="13" t="str">
        <f t="shared" si="310"/>
        <v>Twitter for Android</v>
      </c>
      <c r="L1495" s="12">
        <v>5</v>
      </c>
      <c r="M1495" s="12">
        <v>25</v>
      </c>
      <c r="N1495" s="12">
        <v>0</v>
      </c>
      <c r="O1495" s="15"/>
      <c r="P1495" s="6">
        <v>43125.015601851846</v>
      </c>
      <c r="Q1495" s="11"/>
      <c r="R1495" s="19"/>
      <c r="S1495" s="11"/>
      <c r="T1495" s="11"/>
      <c r="U1495" s="18" t="s">
        <v>168</v>
      </c>
    </row>
    <row r="1496" spans="1:21" ht="40.799999999999997">
      <c r="A1496" s="6">
        <v>43425.597939814819</v>
      </c>
      <c r="B1496" s="7" t="str">
        <f>HYPERLINK("https://twitter.com/hortencarmen1","@hortencarmen1")</f>
        <v>@hortencarmen1</v>
      </c>
      <c r="C1496" s="8" t="s">
        <v>3477</v>
      </c>
      <c r="D1496" s="9" t="s">
        <v>3478</v>
      </c>
      <c r="E1496" s="10" t="str">
        <f>HYPERLINK("https://twitter.com/hortencarmen1/status/1065369521589026816","1065369521589026816")</f>
        <v>1065369521589026816</v>
      </c>
      <c r="F1496" s="14" t="s">
        <v>3479</v>
      </c>
      <c r="G1496" s="14" t="s">
        <v>3480</v>
      </c>
      <c r="H1496" s="11"/>
      <c r="I1496" s="12">
        <v>0</v>
      </c>
      <c r="J1496" s="12">
        <v>0</v>
      </c>
      <c r="K1496" s="13" t="str">
        <f t="shared" si="310"/>
        <v>Twitter for Android</v>
      </c>
      <c r="L1496" s="12">
        <v>558</v>
      </c>
      <c r="M1496" s="12">
        <v>692</v>
      </c>
      <c r="N1496" s="12">
        <v>17</v>
      </c>
      <c r="O1496" s="15"/>
      <c r="P1496" s="6">
        <v>41284.680648148147</v>
      </c>
      <c r="Q1496" s="11"/>
      <c r="R1496" s="17" t="s">
        <v>3483</v>
      </c>
      <c r="S1496" s="11"/>
      <c r="T1496" s="11"/>
      <c r="U1496" s="10" t="str">
        <f>HYPERLINK("https://pbs.twimg.com/profile_images/1062968792161107969/E47TPcNQ.jpg","View")</f>
        <v>View</v>
      </c>
    </row>
    <row r="1497" spans="1:21" ht="20.399999999999999">
      <c r="A1497" s="6">
        <v>43425.596759259264</v>
      </c>
      <c r="B1497" s="7" t="str">
        <f>HYPERLINK("https://twitter.com/AaronDS_","@AaronDS_")</f>
        <v>@AaronDS_</v>
      </c>
      <c r="C1497" s="8" t="s">
        <v>3488</v>
      </c>
      <c r="D1497" s="9" t="s">
        <v>3489</v>
      </c>
      <c r="E1497" s="10" t="str">
        <f>HYPERLINK("https://twitter.com/AaronDS_/status/1065369093220564993","1065369093220564993")</f>
        <v>1065369093220564993</v>
      </c>
      <c r="F1497" s="11"/>
      <c r="G1497" s="11"/>
      <c r="H1497" s="11"/>
      <c r="I1497" s="12">
        <v>0</v>
      </c>
      <c r="J1497" s="12">
        <v>1</v>
      </c>
      <c r="K1497" s="13" t="str">
        <f>HYPERLINK("http://twitter.com/download/iphone","Twitter for iPhone")</f>
        <v>Twitter for iPhone</v>
      </c>
      <c r="L1497" s="12">
        <v>630</v>
      </c>
      <c r="M1497" s="12">
        <v>596</v>
      </c>
      <c r="N1497" s="12">
        <v>16</v>
      </c>
      <c r="O1497" s="15"/>
      <c r="P1497" s="6">
        <v>40638.403298611112</v>
      </c>
      <c r="Q1497" s="11"/>
      <c r="R1497" s="17" t="s">
        <v>3490</v>
      </c>
      <c r="S1497" s="11"/>
      <c r="T1497" s="11"/>
      <c r="U1497" s="10" t="str">
        <f>HYPERLINK("https://pbs.twimg.com/profile_images/732295917462769664/FI7T4ITZ.jpg","View")</f>
        <v>View</v>
      </c>
    </row>
    <row r="1498" spans="1:21" ht="30.6">
      <c r="A1498" s="6">
        <v>43425.59443287037</v>
      </c>
      <c r="B1498" s="7" t="str">
        <f>HYPERLINK("https://twitter.com/kike1977pelu","@kike1977pelu")</f>
        <v>@kike1977pelu</v>
      </c>
      <c r="C1498" s="8" t="s">
        <v>6727</v>
      </c>
      <c r="D1498" s="9" t="s">
        <v>6740</v>
      </c>
      <c r="E1498" s="10" t="str">
        <f>HYPERLINK("https://twitter.com/kike1977pelu/status/1065368252619124736","1065368252619124736")</f>
        <v>1065368252619124736</v>
      </c>
      <c r="F1498" s="11"/>
      <c r="G1498" s="14" t="s">
        <v>6741</v>
      </c>
      <c r="H1498" s="11"/>
      <c r="I1498" s="12">
        <v>3</v>
      </c>
      <c r="J1498" s="12">
        <v>2</v>
      </c>
      <c r="K1498" s="13" t="str">
        <f>HYPERLINK("http://twitter.com/download/android","Twitter for Android")</f>
        <v>Twitter for Android</v>
      </c>
      <c r="L1498" s="12">
        <v>310</v>
      </c>
      <c r="M1498" s="12">
        <v>259</v>
      </c>
      <c r="N1498" s="12">
        <v>0</v>
      </c>
      <c r="O1498" s="15"/>
      <c r="P1498" s="6">
        <v>40557.077650462961</v>
      </c>
      <c r="Q1498" s="11"/>
      <c r="R1498" s="17" t="s">
        <v>6730</v>
      </c>
      <c r="S1498" s="11"/>
      <c r="T1498" s="11"/>
      <c r="U1498" s="10" t="str">
        <f>HYPERLINK("https://pbs.twimg.com/profile_images/1047685101570723841/wghlh0hj.jpg","View")</f>
        <v>View</v>
      </c>
    </row>
    <row r="1499" spans="1:21" ht="30.6">
      <c r="A1499" s="6">
        <v>43425.592291666668</v>
      </c>
      <c r="B1499" s="7" t="str">
        <f>HYPERLINK("https://twitter.com/Dinmanbroyer","@Dinmanbroyer")</f>
        <v>@Dinmanbroyer</v>
      </c>
      <c r="C1499" s="8" t="s">
        <v>3491</v>
      </c>
      <c r="D1499" s="9" t="s">
        <v>3492</v>
      </c>
      <c r="E1499" s="10" t="str">
        <f>HYPERLINK("https://twitter.com/Dinmanbroyer/status/1065367477440442368","1065367477440442368")</f>
        <v>1065367477440442368</v>
      </c>
      <c r="F1499" s="14" t="s">
        <v>3493</v>
      </c>
      <c r="G1499" s="14" t="s">
        <v>3494</v>
      </c>
      <c r="H1499" s="11"/>
      <c r="I1499" s="12">
        <v>0</v>
      </c>
      <c r="J1499" s="12">
        <v>1</v>
      </c>
      <c r="K1499" s="13" t="str">
        <f>HYPERLINK("http://twitter.com/download/iphone","Twitter for iPhone")</f>
        <v>Twitter for iPhone</v>
      </c>
      <c r="L1499" s="12">
        <v>1439</v>
      </c>
      <c r="M1499" s="12">
        <v>264</v>
      </c>
      <c r="N1499" s="12">
        <v>23</v>
      </c>
      <c r="O1499" s="15"/>
      <c r="P1499" s="6">
        <v>41505.518923611111</v>
      </c>
      <c r="Q1499" s="11"/>
      <c r="R1499" s="19"/>
      <c r="S1499" s="11"/>
      <c r="T1499" s="11"/>
      <c r="U1499" s="10" t="str">
        <f>HYPERLINK("https://pbs.twimg.com/profile_images/910913972156735489/YfOqnryI.jpg","View")</f>
        <v>View</v>
      </c>
    </row>
    <row r="1500" spans="1:21" ht="51">
      <c r="A1500" s="6">
        <v>43425.591782407406</v>
      </c>
      <c r="B1500" s="7" t="str">
        <f>HYPERLINK("https://twitter.com/karipapo","@karipapo")</f>
        <v>@karipapo</v>
      </c>
      <c r="C1500" s="8" t="s">
        <v>6742</v>
      </c>
      <c r="D1500" s="9" t="s">
        <v>6743</v>
      </c>
      <c r="E1500" s="10" t="str">
        <f>HYPERLINK("https://twitter.com/karipapo/status/1065367292664532992","1065367292664532992")</f>
        <v>1065367292664532992</v>
      </c>
      <c r="F1500" s="14" t="s">
        <v>6744</v>
      </c>
      <c r="G1500" s="11"/>
      <c r="H1500" s="11"/>
      <c r="I1500" s="12">
        <v>9</v>
      </c>
      <c r="J1500" s="12">
        <v>9</v>
      </c>
      <c r="K1500" s="13" t="str">
        <f>HYPERLINK("http://twitter.com","Twitter Web Client")</f>
        <v>Twitter Web Client</v>
      </c>
      <c r="L1500" s="12">
        <v>3328</v>
      </c>
      <c r="M1500" s="12">
        <v>762</v>
      </c>
      <c r="N1500" s="12">
        <v>20</v>
      </c>
      <c r="O1500" s="15"/>
      <c r="P1500" s="6">
        <v>40791.775358796294</v>
      </c>
      <c r="Q1500" s="16" t="s">
        <v>6359</v>
      </c>
      <c r="R1500" s="17" t="s">
        <v>6745</v>
      </c>
      <c r="S1500" s="14" t="s">
        <v>6746</v>
      </c>
      <c r="T1500" s="11"/>
      <c r="U1500" s="10" t="str">
        <f>HYPERLINK("https://pbs.twimg.com/profile_images/1001972945076531202/bnXIj36q.jpg","View")</f>
        <v>View</v>
      </c>
    </row>
    <row r="1501" spans="1:21" ht="40.799999999999997">
      <c r="A1501" s="6">
        <v>43425.591053240743</v>
      </c>
      <c r="B1501" s="7" t="str">
        <f>HYPERLINK("https://twitter.com/PdeSamos","@PdeSamos")</f>
        <v>@PdeSamos</v>
      </c>
      <c r="C1501" s="8" t="s">
        <v>3877</v>
      </c>
      <c r="D1501" s="9" t="s">
        <v>6747</v>
      </c>
      <c r="E1501" s="10" t="str">
        <f>HYPERLINK("https://twitter.com/PdeSamos/status/1065367028301787140","1065367028301787140")</f>
        <v>1065367028301787140</v>
      </c>
      <c r="F1501" s="14" t="s">
        <v>6748</v>
      </c>
      <c r="G1501" s="11"/>
      <c r="H1501" s="11"/>
      <c r="I1501" s="12">
        <v>0</v>
      </c>
      <c r="J1501" s="12">
        <v>0</v>
      </c>
      <c r="K1501" s="13" t="str">
        <f>HYPERLINK("http://republico.ddns.net","App Libertad PdeSamos")</f>
        <v>App Libertad PdeSamos</v>
      </c>
      <c r="L1501" s="12">
        <v>5283</v>
      </c>
      <c r="M1501" s="12">
        <v>5301</v>
      </c>
      <c r="N1501" s="12">
        <v>12</v>
      </c>
      <c r="O1501" s="15"/>
      <c r="P1501" s="6">
        <v>42889.445567129631</v>
      </c>
      <c r="Q1501" s="16" t="s">
        <v>3881</v>
      </c>
      <c r="R1501" s="17" t="s">
        <v>3882</v>
      </c>
      <c r="S1501" s="11"/>
      <c r="T1501" s="11"/>
      <c r="U1501" s="10" t="str">
        <f>HYPERLINK("https://pbs.twimg.com/profile_images/871063742003511296/xK2IYbrO.jpg","View")</f>
        <v>View</v>
      </c>
    </row>
    <row r="1502" spans="1:21" ht="61.2">
      <c r="A1502" s="6">
        <v>43425.588310185187</v>
      </c>
      <c r="B1502" s="7" t="str">
        <f>HYPERLINK("https://twitter.com/MichaelOnio","@MichaelOnio")</f>
        <v>@MichaelOnio</v>
      </c>
      <c r="C1502" s="8" t="s">
        <v>3498</v>
      </c>
      <c r="D1502" s="9" t="s">
        <v>3499</v>
      </c>
      <c r="E1502" s="10" t="str">
        <f>HYPERLINK("https://twitter.com/MichaelOnio/status/1065366031340920832","1065366031340920832")</f>
        <v>1065366031340920832</v>
      </c>
      <c r="F1502" s="11"/>
      <c r="G1502" s="11"/>
      <c r="H1502" s="11"/>
      <c r="I1502" s="12">
        <v>0</v>
      </c>
      <c r="J1502" s="12">
        <v>0</v>
      </c>
      <c r="K1502" s="13" t="str">
        <f>HYPERLINK("http://twitter.com/download/android","Twitter for Android")</f>
        <v>Twitter for Android</v>
      </c>
      <c r="L1502" s="12">
        <v>516</v>
      </c>
      <c r="M1502" s="12">
        <v>109</v>
      </c>
      <c r="N1502" s="12">
        <v>9</v>
      </c>
      <c r="O1502" s="15"/>
      <c r="P1502" s="6">
        <v>41172.456018518518</v>
      </c>
      <c r="Q1502" s="16" t="s">
        <v>3500</v>
      </c>
      <c r="R1502" s="17" t="s">
        <v>3501</v>
      </c>
      <c r="S1502" s="11"/>
      <c r="T1502" s="11"/>
      <c r="U1502" s="10" t="str">
        <f>HYPERLINK("https://pbs.twimg.com/profile_images/706530583766245378/3vEcrTQt.jpg","View")</f>
        <v>View</v>
      </c>
    </row>
    <row r="1503" spans="1:21" ht="51">
      <c r="A1503" s="6">
        <v>43425.586956018524</v>
      </c>
      <c r="B1503" s="7" t="str">
        <f>HYPERLINK("https://twitter.com/ManuelBudio","@ManuelBudio")</f>
        <v>@ManuelBudio</v>
      </c>
      <c r="C1503" s="8" t="s">
        <v>3506</v>
      </c>
      <c r="D1503" s="9" t="s">
        <v>3508</v>
      </c>
      <c r="E1503" s="10" t="str">
        <f>HYPERLINK("https://twitter.com/ManuelBudio/status/1065365542712852480","1065365542712852480")</f>
        <v>1065365542712852480</v>
      </c>
      <c r="F1503" s="14" t="s">
        <v>3509</v>
      </c>
      <c r="G1503" s="11"/>
      <c r="H1503" s="11"/>
      <c r="I1503" s="12">
        <v>0</v>
      </c>
      <c r="J1503" s="12">
        <v>0</v>
      </c>
      <c r="K1503" s="13" t="str">
        <f>HYPERLINK("http://twitter.com","Twitter Web Client")</f>
        <v>Twitter Web Client</v>
      </c>
      <c r="L1503" s="12">
        <v>3322</v>
      </c>
      <c r="M1503" s="12">
        <v>3375</v>
      </c>
      <c r="N1503" s="12">
        <v>52</v>
      </c>
      <c r="O1503" s="15"/>
      <c r="P1503" s="6">
        <v>41758.264456018514</v>
      </c>
      <c r="Q1503" s="11"/>
      <c r="R1503" s="19"/>
      <c r="S1503" s="11"/>
      <c r="T1503" s="11"/>
      <c r="U1503" s="10" t="str">
        <f>HYPERLINK("https://pbs.twimg.com/profile_images/461133824366104576/laIkQZCn.jpeg","View")</f>
        <v>View</v>
      </c>
    </row>
    <row r="1504" spans="1:21" ht="51">
      <c r="A1504" s="6">
        <v>43425.586365740739</v>
      </c>
      <c r="B1504" s="7" t="str">
        <f>HYPERLINK("https://twitter.com/Lamorteratres","@Lamorteratres")</f>
        <v>@Lamorteratres</v>
      </c>
      <c r="C1504" s="8" t="s">
        <v>3516</v>
      </c>
      <c r="D1504" s="9" t="s">
        <v>3517</v>
      </c>
      <c r="E1504" s="10" t="str">
        <f>HYPERLINK("https://twitter.com/Lamorteratres/status/1065365330019663873","1065365330019663873")</f>
        <v>1065365330019663873</v>
      </c>
      <c r="F1504" s="11"/>
      <c r="G1504" s="14" t="s">
        <v>3518</v>
      </c>
      <c r="H1504" s="11"/>
      <c r="I1504" s="12">
        <v>1</v>
      </c>
      <c r="J1504" s="12">
        <v>0</v>
      </c>
      <c r="K1504" s="13" t="str">
        <f>HYPERLINK("http://twitter.com/download/android","Twitter for Android")</f>
        <v>Twitter for Android</v>
      </c>
      <c r="L1504" s="12">
        <v>4301</v>
      </c>
      <c r="M1504" s="12">
        <v>4971</v>
      </c>
      <c r="N1504" s="12">
        <v>6</v>
      </c>
      <c r="O1504" s="15"/>
      <c r="P1504" s="6">
        <v>42350.068287037036</v>
      </c>
      <c r="Q1504" s="16" t="s">
        <v>3519</v>
      </c>
      <c r="R1504" s="19"/>
      <c r="S1504" s="11"/>
      <c r="T1504" s="11"/>
      <c r="U1504" s="10" t="str">
        <f>HYPERLINK("https://pbs.twimg.com/profile_images/964599497618788352/U9tH8AwV.jpg","View")</f>
        <v>View</v>
      </c>
    </row>
    <row r="1505" spans="1:21" ht="20.399999999999999">
      <c r="A1505" s="6">
        <v>43425.585219907407</v>
      </c>
      <c r="B1505" s="7" t="str">
        <f>HYPERLINK("https://twitter.com/josluisb4","@josluisb4")</f>
        <v>@josluisb4</v>
      </c>
      <c r="C1505" s="8" t="s">
        <v>6749</v>
      </c>
      <c r="D1505" s="9" t="s">
        <v>6750</v>
      </c>
      <c r="E1505" s="10" t="str">
        <f>HYPERLINK("https://twitter.com/josluisb4/status/1065364912568971264","1065364912568971264")</f>
        <v>1065364912568971264</v>
      </c>
      <c r="F1505" s="14" t="s">
        <v>6751</v>
      </c>
      <c r="G1505" s="11"/>
      <c r="H1505" s="11"/>
      <c r="I1505" s="12">
        <v>0</v>
      </c>
      <c r="J1505" s="12">
        <v>0</v>
      </c>
      <c r="K1505" s="13" t="str">
        <f>HYPERLINK("https://www.google.com/","Google")</f>
        <v>Google</v>
      </c>
      <c r="L1505" s="12">
        <v>99</v>
      </c>
      <c r="M1505" s="12">
        <v>163</v>
      </c>
      <c r="N1505" s="12">
        <v>3</v>
      </c>
      <c r="O1505" s="15"/>
      <c r="P1505" s="6">
        <v>41193.456631944442</v>
      </c>
      <c r="Q1505" s="16" t="s">
        <v>28</v>
      </c>
      <c r="R1505" s="19"/>
      <c r="S1505" s="11"/>
      <c r="T1505" s="11"/>
      <c r="U1505" s="10" t="str">
        <f>HYPERLINK("https://pbs.twimg.com/profile_images/2706125225/c908e37059358f0324403b8bd5f5a87a.jpeg","View")</f>
        <v>View</v>
      </c>
    </row>
    <row r="1506" spans="1:21" ht="51">
      <c r="A1506" s="6">
        <v>43425.584953703699</v>
      </c>
      <c r="B1506" s="7" t="str">
        <f>HYPERLINK("https://twitter.com/danielfazeli_","@danielfazeli_")</f>
        <v>@danielfazeli_</v>
      </c>
      <c r="C1506" s="8" t="s">
        <v>3520</v>
      </c>
      <c r="D1506" s="9" t="s">
        <v>3521</v>
      </c>
      <c r="E1506" s="10" t="str">
        <f>HYPERLINK("https://twitter.com/danielfazeli_/status/1065364816116834304","1065364816116834304")</f>
        <v>1065364816116834304</v>
      </c>
      <c r="F1506" s="11"/>
      <c r="G1506" s="11"/>
      <c r="H1506" s="11"/>
      <c r="I1506" s="12">
        <v>0</v>
      </c>
      <c r="J1506" s="12">
        <v>0</v>
      </c>
      <c r="K1506" s="13" t="str">
        <f>HYPERLINK("http://twitter.com/download/iphone","Twitter for iPhone")</f>
        <v>Twitter for iPhone</v>
      </c>
      <c r="L1506" s="12">
        <v>80</v>
      </c>
      <c r="M1506" s="12">
        <v>520</v>
      </c>
      <c r="N1506" s="12">
        <v>0</v>
      </c>
      <c r="O1506" s="15"/>
      <c r="P1506" s="6">
        <v>43332.207650462966</v>
      </c>
      <c r="Q1506" s="16" t="s">
        <v>3522</v>
      </c>
      <c r="R1506" s="17" t="s">
        <v>3523</v>
      </c>
      <c r="S1506" s="14" t="s">
        <v>3524</v>
      </c>
      <c r="T1506" s="11"/>
      <c r="U1506" s="10" t="str">
        <f>HYPERLINK("https://pbs.twimg.com/profile_images/1058167316356235264/ynnl5md8.jpg","View")</f>
        <v>View</v>
      </c>
    </row>
    <row r="1507" spans="1:21" ht="51">
      <c r="A1507" s="6">
        <v>43425.584027777775</v>
      </c>
      <c r="B1507" s="7" t="str">
        <f>HYPERLINK("https://twitter.com/bitMomentum","@bitMomentum")</f>
        <v>@bitMomentum</v>
      </c>
      <c r="C1507" s="8" t="s">
        <v>1033</v>
      </c>
      <c r="D1507" s="9" t="s">
        <v>3527</v>
      </c>
      <c r="E1507" s="10" t="str">
        <f>HYPERLINK("https://twitter.com/bitMomentum/status/1065364479997808646","1065364479997808646")</f>
        <v>1065364479997808646</v>
      </c>
      <c r="F1507" s="11"/>
      <c r="G1507" s="11"/>
      <c r="H1507" s="11"/>
      <c r="I1507" s="12">
        <v>1</v>
      </c>
      <c r="J1507" s="12">
        <v>0</v>
      </c>
      <c r="K1507" s="13" t="str">
        <f>HYPERLINK("http://www.bitmomentum.com","bitMomentum Bot")</f>
        <v>bitMomentum Bot</v>
      </c>
      <c r="L1507" s="12">
        <v>10132</v>
      </c>
      <c r="M1507" s="12">
        <v>1060</v>
      </c>
      <c r="N1507" s="12">
        <v>267</v>
      </c>
      <c r="O1507" s="15"/>
      <c r="P1507" s="6">
        <v>41608.292511574073</v>
      </c>
      <c r="Q1507" s="11"/>
      <c r="R1507" s="17" t="s">
        <v>1038</v>
      </c>
      <c r="S1507" s="14" t="s">
        <v>1039</v>
      </c>
      <c r="T1507" s="11"/>
      <c r="U1507" s="10" t="str">
        <f>HYPERLINK("https://pbs.twimg.com/profile_images/378800000862185241/20ij2H3u.png","View")</f>
        <v>View</v>
      </c>
    </row>
    <row r="1508" spans="1:21" ht="20.399999999999999">
      <c r="A1508" s="6">
        <v>43425.584016203706</v>
      </c>
      <c r="B1508" s="7" t="str">
        <f>HYPERLINK("https://twitter.com/callate_nene","@callate_nene")</f>
        <v>@callate_nene</v>
      </c>
      <c r="C1508" s="8" t="s">
        <v>3530</v>
      </c>
      <c r="D1508" s="9" t="s">
        <v>3531</v>
      </c>
      <c r="E1508" s="10" t="str">
        <f>HYPERLINK("https://twitter.com/callate_nene/status/1065364478999580672","1065364478999580672")</f>
        <v>1065364478999580672</v>
      </c>
      <c r="F1508" s="11"/>
      <c r="G1508" s="11"/>
      <c r="H1508" s="11"/>
      <c r="I1508" s="12">
        <v>6</v>
      </c>
      <c r="J1508" s="12">
        <v>4</v>
      </c>
      <c r="K1508" s="13" t="str">
        <f t="shared" ref="K1508:K1509" si="311">HYPERLINK("http://twitter.com/download/iphone","Twitter for iPhone")</f>
        <v>Twitter for iPhone</v>
      </c>
      <c r="L1508" s="12">
        <v>2</v>
      </c>
      <c r="M1508" s="12">
        <v>35</v>
      </c>
      <c r="N1508" s="12">
        <v>0</v>
      </c>
      <c r="O1508" s="15"/>
      <c r="P1508" s="6">
        <v>43359.407037037032</v>
      </c>
      <c r="Q1508" s="11"/>
      <c r="R1508" s="17" t="s">
        <v>3533</v>
      </c>
      <c r="S1508" s="11"/>
      <c r="T1508" s="11"/>
      <c r="U1508" s="10" t="str">
        <f>HYPERLINK("https://pbs.twimg.com/profile_images/1053020499842912257/i1Vxcu-z.jpg","View")</f>
        <v>View</v>
      </c>
    </row>
    <row r="1509" spans="1:21" ht="20.399999999999999">
      <c r="A1509" s="6">
        <v>43425.58393518519</v>
      </c>
      <c r="B1509" s="7" t="str">
        <f>HYPERLINK("https://twitter.com/ManoloMembrilla","@ManoloMembrilla")</f>
        <v>@ManoloMembrilla</v>
      </c>
      <c r="C1509" s="8" t="s">
        <v>3534</v>
      </c>
      <c r="D1509" s="9" t="s">
        <v>3535</v>
      </c>
      <c r="E1509" s="10" t="str">
        <f>HYPERLINK("https://twitter.com/ManoloMembrilla/status/1065364446531461122","1065364446531461122")</f>
        <v>1065364446531461122</v>
      </c>
      <c r="F1509" s="11"/>
      <c r="G1509" s="11"/>
      <c r="H1509" s="11"/>
      <c r="I1509" s="12">
        <v>2</v>
      </c>
      <c r="J1509" s="12">
        <v>3</v>
      </c>
      <c r="K1509" s="13" t="str">
        <f t="shared" si="311"/>
        <v>Twitter for iPhone</v>
      </c>
      <c r="L1509" s="12">
        <v>431</v>
      </c>
      <c r="M1509" s="12">
        <v>2670</v>
      </c>
      <c r="N1509" s="12">
        <v>0</v>
      </c>
      <c r="O1509" s="15"/>
      <c r="P1509" s="6">
        <v>40662.068784722222</v>
      </c>
      <c r="Q1509" s="16" t="s">
        <v>1654</v>
      </c>
      <c r="R1509" s="19"/>
      <c r="S1509" s="11"/>
      <c r="T1509" s="11"/>
      <c r="U1509" s="10" t="str">
        <f>HYPERLINK("https://pbs.twimg.com/profile_images/690259310627151874/UrtpRUJY.jpg","View")</f>
        <v>View</v>
      </c>
    </row>
    <row r="1510" spans="1:21" ht="30.6">
      <c r="A1510" s="6">
        <v>43425.583912037036</v>
      </c>
      <c r="B1510" s="7" t="str">
        <f>HYPERLINK("https://twitter.com/estebanrequena","@estebanrequena")</f>
        <v>@estebanrequena</v>
      </c>
      <c r="C1510" s="8" t="s">
        <v>3536</v>
      </c>
      <c r="D1510" s="9" t="s">
        <v>3537</v>
      </c>
      <c r="E1510" s="10" t="str">
        <f>HYPERLINK("https://twitter.com/estebanrequena/status/1065364439975845888","1065364439975845888")</f>
        <v>1065364439975845888</v>
      </c>
      <c r="F1510" s="11"/>
      <c r="G1510" s="14" t="s">
        <v>3538</v>
      </c>
      <c r="H1510" s="11"/>
      <c r="I1510" s="12">
        <v>0</v>
      </c>
      <c r="J1510" s="12">
        <v>2</v>
      </c>
      <c r="K1510" s="13" t="str">
        <f>HYPERLINK("http://twitter.com/download/android","Twitter for Android")</f>
        <v>Twitter for Android</v>
      </c>
      <c r="L1510" s="12">
        <v>269</v>
      </c>
      <c r="M1510" s="12">
        <v>374</v>
      </c>
      <c r="N1510" s="12">
        <v>8</v>
      </c>
      <c r="O1510" s="15"/>
      <c r="P1510" s="6">
        <v>40744.978321759263</v>
      </c>
      <c r="Q1510" s="11"/>
      <c r="R1510" s="17" t="s">
        <v>3539</v>
      </c>
      <c r="S1510" s="11"/>
      <c r="T1510" s="11"/>
      <c r="U1510" s="10" t="str">
        <f>HYPERLINK("https://pbs.twimg.com/profile_images/1034463251013292034/n7ZoYdhM.jpg","View")</f>
        <v>View</v>
      </c>
    </row>
    <row r="1511" spans="1:21" ht="20.399999999999999">
      <c r="A1511" s="6">
        <v>43425.580636574072</v>
      </c>
      <c r="B1511" s="7" t="str">
        <f>HYPERLINK("https://twitter.com/Joseluis9819819","@Joseluis9819819")</f>
        <v>@Joseluis9819819</v>
      </c>
      <c r="C1511" s="8" t="s">
        <v>6752</v>
      </c>
      <c r="D1511" s="9" t="s">
        <v>6753</v>
      </c>
      <c r="E1511" s="10" t="str">
        <f>HYPERLINK("https://twitter.com/Joseluis9819819/status/1065363254015377409","1065363254015377409")</f>
        <v>1065363254015377409</v>
      </c>
      <c r="F1511" s="14" t="s">
        <v>6754</v>
      </c>
      <c r="G1511" s="11"/>
      <c r="H1511" s="11"/>
      <c r="I1511" s="12">
        <v>0</v>
      </c>
      <c r="J1511" s="12">
        <v>0</v>
      </c>
      <c r="K1511" s="13" t="str">
        <f>HYPERLINK("http://twitter.com","Twitter Web Client")</f>
        <v>Twitter Web Client</v>
      </c>
      <c r="L1511" s="12">
        <v>1141</v>
      </c>
      <c r="M1511" s="12">
        <v>1198</v>
      </c>
      <c r="N1511" s="12">
        <v>4</v>
      </c>
      <c r="O1511" s="15"/>
      <c r="P1511" s="6">
        <v>42762.435601851852</v>
      </c>
      <c r="Q1511" s="16" t="s">
        <v>6755</v>
      </c>
      <c r="R1511" s="17" t="s">
        <v>6756</v>
      </c>
      <c r="S1511" s="11"/>
      <c r="T1511" s="11"/>
      <c r="U1511" s="10" t="str">
        <f>HYPERLINK("https://pbs.twimg.com/profile_images/922507954200416258/mEHj1Ixm.jpg","View")</f>
        <v>View</v>
      </c>
    </row>
    <row r="1512" spans="1:21" ht="51">
      <c r="A1512" s="6">
        <v>43425.580104166671</v>
      </c>
      <c r="B1512" s="7" t="str">
        <f>HYPERLINK("https://twitter.com/edzeballos","@edzeballos")</f>
        <v>@edzeballos</v>
      </c>
      <c r="C1512" s="8" t="s">
        <v>3540</v>
      </c>
      <c r="D1512" s="9" t="s">
        <v>3541</v>
      </c>
      <c r="E1512" s="10" t="str">
        <f>HYPERLINK("https://twitter.com/edzeballos/status/1065363058715967488","1065363058715967488")</f>
        <v>1065363058715967488</v>
      </c>
      <c r="F1512" s="11"/>
      <c r="G1512" s="11"/>
      <c r="H1512" s="11"/>
      <c r="I1512" s="12">
        <v>0</v>
      </c>
      <c r="J1512" s="12">
        <v>1</v>
      </c>
      <c r="K1512" s="13" t="str">
        <f t="shared" ref="K1512:K1513" si="312">HYPERLINK("http://twitter.com/download/iphone","Twitter for iPhone")</f>
        <v>Twitter for iPhone</v>
      </c>
      <c r="L1512" s="12">
        <v>73</v>
      </c>
      <c r="M1512" s="12">
        <v>375</v>
      </c>
      <c r="N1512" s="12">
        <v>1</v>
      </c>
      <c r="O1512" s="15"/>
      <c r="P1512" s="6">
        <v>42342.20684027778</v>
      </c>
      <c r="Q1512" s="16" t="s">
        <v>406</v>
      </c>
      <c r="R1512" s="17" t="s">
        <v>3542</v>
      </c>
      <c r="S1512" s="11"/>
      <c r="T1512" s="11"/>
      <c r="U1512" s="10" t="str">
        <f>HYPERLINK("https://pbs.twimg.com/profile_images/976595117002850304/rqQYoZTh.jpg","View")</f>
        <v>View</v>
      </c>
    </row>
    <row r="1513" spans="1:21" ht="20.399999999999999">
      <c r="A1513" s="6">
        <v>43425.580092592594</v>
      </c>
      <c r="B1513" s="7" t="str">
        <f>HYPERLINK("https://twitter.com/Ion90571932","@Ion90571932")</f>
        <v>@Ion90571932</v>
      </c>
      <c r="C1513" s="8" t="s">
        <v>6757</v>
      </c>
      <c r="D1513" s="9" t="s">
        <v>6758</v>
      </c>
      <c r="E1513" s="10" t="str">
        <f>HYPERLINK("https://twitter.com/Ion90571932/status/1065363054580428802","1065363054580428802")</f>
        <v>1065363054580428802</v>
      </c>
      <c r="F1513" s="11"/>
      <c r="G1513" s="11"/>
      <c r="H1513" s="11"/>
      <c r="I1513" s="12">
        <v>0</v>
      </c>
      <c r="J1513" s="12">
        <v>1</v>
      </c>
      <c r="K1513" s="13" t="str">
        <f t="shared" si="312"/>
        <v>Twitter for iPhone</v>
      </c>
      <c r="L1513" s="12">
        <v>20</v>
      </c>
      <c r="M1513" s="12">
        <v>97</v>
      </c>
      <c r="N1513" s="12">
        <v>0</v>
      </c>
      <c r="O1513" s="15"/>
      <c r="P1513" s="6">
        <v>43223.619097222225</v>
      </c>
      <c r="Q1513" s="16" t="s">
        <v>6759</v>
      </c>
      <c r="R1513" s="17" t="s">
        <v>6760</v>
      </c>
      <c r="S1513" s="11"/>
      <c r="T1513" s="11"/>
      <c r="U1513" s="10" t="str">
        <f>HYPERLINK("https://pbs.twimg.com/profile_images/1060248261028732933/ZrkuqGrV.jpg","View")</f>
        <v>View</v>
      </c>
    </row>
    <row r="1514" spans="1:21" ht="40.799999999999997">
      <c r="A1514" s="6">
        <v>43425.578090277777</v>
      </c>
      <c r="B1514" s="7" t="str">
        <f>HYPERLINK("https://twitter.com/Soviet1919","@Soviet1919")</f>
        <v>@Soviet1919</v>
      </c>
      <c r="C1514" s="8" t="s">
        <v>6761</v>
      </c>
      <c r="D1514" s="9" t="s">
        <v>3816</v>
      </c>
      <c r="E1514" s="10" t="str">
        <f>HYPERLINK("https://twitter.com/Soviet1919/status/1065362331637555201","1065362331637555201")</f>
        <v>1065362331637555201</v>
      </c>
      <c r="F1514" s="14" t="s">
        <v>3817</v>
      </c>
      <c r="G1514" s="11"/>
      <c r="H1514" s="11"/>
      <c r="I1514" s="12">
        <v>0</v>
      </c>
      <c r="J1514" s="12">
        <v>0</v>
      </c>
      <c r="K1514" s="13" t="str">
        <f>HYPERLINK("http://twitter.com/download/android","Twitter for Android")</f>
        <v>Twitter for Android</v>
      </c>
      <c r="L1514" s="12">
        <v>1228</v>
      </c>
      <c r="M1514" s="12">
        <v>2050</v>
      </c>
      <c r="N1514" s="12">
        <v>29</v>
      </c>
      <c r="O1514" s="15"/>
      <c r="P1514" s="6">
        <v>41416.143865740742</v>
      </c>
      <c r="Q1514" s="11"/>
      <c r="R1514" s="17" t="s">
        <v>6762</v>
      </c>
      <c r="S1514" s="11"/>
      <c r="T1514" s="11"/>
      <c r="U1514" s="10" t="str">
        <f>HYPERLINK("https://pbs.twimg.com/profile_images/730767072389660672/W6uNi9Yl.jpg","View")</f>
        <v>View</v>
      </c>
    </row>
    <row r="1515" spans="1:21" ht="20.399999999999999">
      <c r="A1515" s="6">
        <v>43425.576805555553</v>
      </c>
      <c r="B1515" s="7" t="str">
        <f t="shared" ref="B1515:B1516" si="313">HYPERLINK("https://twitter.com/Joseluis9819819","@Joseluis9819819")</f>
        <v>@Joseluis9819819</v>
      </c>
      <c r="C1515" s="8" t="s">
        <v>6752</v>
      </c>
      <c r="D1515" s="9" t="s">
        <v>6763</v>
      </c>
      <c r="E1515" s="10" t="str">
        <f>HYPERLINK("https://twitter.com/Joseluis9819819/status/1065361865243590656","1065361865243590656")</f>
        <v>1065361865243590656</v>
      </c>
      <c r="F1515" s="14" t="s">
        <v>6754</v>
      </c>
      <c r="G1515" s="11"/>
      <c r="H1515" s="11"/>
      <c r="I1515" s="12">
        <v>0</v>
      </c>
      <c r="J1515" s="12">
        <v>0</v>
      </c>
      <c r="K1515" s="13" t="str">
        <f t="shared" ref="K1515:K1516" si="314">HYPERLINK("http://twitter.com","Twitter Web Client")</f>
        <v>Twitter Web Client</v>
      </c>
      <c r="L1515" s="12">
        <v>1141</v>
      </c>
      <c r="M1515" s="12">
        <v>1198</v>
      </c>
      <c r="N1515" s="12">
        <v>4</v>
      </c>
      <c r="O1515" s="15"/>
      <c r="P1515" s="6">
        <v>42762.435601851852</v>
      </c>
      <c r="Q1515" s="16" t="s">
        <v>6755</v>
      </c>
      <c r="R1515" s="17" t="s">
        <v>6756</v>
      </c>
      <c r="S1515" s="11"/>
      <c r="T1515" s="11"/>
      <c r="U1515" s="10" t="str">
        <f t="shared" ref="U1515:U1516" si="315">HYPERLINK("https://pbs.twimg.com/profile_images/922507954200416258/mEHj1Ixm.jpg","View")</f>
        <v>View</v>
      </c>
    </row>
    <row r="1516" spans="1:21" ht="20.399999999999999">
      <c r="A1516" s="6">
        <v>43425.57613425926</v>
      </c>
      <c r="B1516" s="7" t="str">
        <f t="shared" si="313"/>
        <v>@Joseluis9819819</v>
      </c>
      <c r="C1516" s="8" t="s">
        <v>6752</v>
      </c>
      <c r="D1516" s="9" t="s">
        <v>6764</v>
      </c>
      <c r="E1516" s="10" t="str">
        <f>HYPERLINK("https://twitter.com/Joseluis9819819/status/1065361621793603585","1065361621793603585")</f>
        <v>1065361621793603585</v>
      </c>
      <c r="F1516" s="14" t="s">
        <v>6754</v>
      </c>
      <c r="G1516" s="11"/>
      <c r="H1516" s="11"/>
      <c r="I1516" s="12">
        <v>0</v>
      </c>
      <c r="J1516" s="12">
        <v>0</v>
      </c>
      <c r="K1516" s="13" t="str">
        <f t="shared" si="314"/>
        <v>Twitter Web Client</v>
      </c>
      <c r="L1516" s="12">
        <v>1141</v>
      </c>
      <c r="M1516" s="12">
        <v>1198</v>
      </c>
      <c r="N1516" s="12">
        <v>4</v>
      </c>
      <c r="O1516" s="15"/>
      <c r="P1516" s="6">
        <v>42762.435601851852</v>
      </c>
      <c r="Q1516" s="16" t="s">
        <v>6755</v>
      </c>
      <c r="R1516" s="17" t="s">
        <v>6756</v>
      </c>
      <c r="S1516" s="11"/>
      <c r="T1516" s="11"/>
      <c r="U1516" s="10" t="str">
        <f t="shared" si="315"/>
        <v>View</v>
      </c>
    </row>
    <row r="1517" spans="1:21" ht="51">
      <c r="A1517" s="6">
        <v>43425.573321759264</v>
      </c>
      <c r="B1517" s="7" t="str">
        <f>HYPERLINK("https://twitter.com/alejandro_bpuj","@alejandro_bpuj")</f>
        <v>@alejandro_bpuj</v>
      </c>
      <c r="C1517" s="8" t="s">
        <v>3543</v>
      </c>
      <c r="D1517" s="9" t="s">
        <v>3544</v>
      </c>
      <c r="E1517" s="10" t="str">
        <f>HYPERLINK("https://twitter.com/alejandro_bpuj/status/1065360601634037760","1065360601634037760")</f>
        <v>1065360601634037760</v>
      </c>
      <c r="F1517" s="11"/>
      <c r="G1517" s="11"/>
      <c r="H1517" s="11"/>
      <c r="I1517" s="12">
        <v>0</v>
      </c>
      <c r="J1517" s="12">
        <v>0</v>
      </c>
      <c r="K1517" s="13" t="str">
        <f>HYPERLINK("http://twitter.com/download/iphone","Twitter for iPhone")</f>
        <v>Twitter for iPhone</v>
      </c>
      <c r="L1517" s="12">
        <v>104</v>
      </c>
      <c r="M1517" s="12">
        <v>904</v>
      </c>
      <c r="N1517" s="12">
        <v>1</v>
      </c>
      <c r="O1517" s="15"/>
      <c r="P1517" s="6">
        <v>40771.49354166667</v>
      </c>
      <c r="Q1517" s="16" t="s">
        <v>3545</v>
      </c>
      <c r="R1517" s="17" t="s">
        <v>3546</v>
      </c>
      <c r="S1517" s="11"/>
      <c r="T1517" s="11"/>
      <c r="U1517" s="10" t="str">
        <f>HYPERLINK("https://pbs.twimg.com/profile_images/1021542101316714496/XOy0KkPb.jpg","View")</f>
        <v>View</v>
      </c>
    </row>
    <row r="1518" spans="1:21" ht="102">
      <c r="A1518" s="6">
        <v>43425.572268518517</v>
      </c>
      <c r="B1518" s="7" t="str">
        <f>HYPERLINK("https://twitter.com/Ernesth00","@Ernesth00")</f>
        <v>@Ernesth00</v>
      </c>
      <c r="C1518" s="8" t="s">
        <v>3550</v>
      </c>
      <c r="D1518" s="9" t="s">
        <v>3551</v>
      </c>
      <c r="E1518" s="10" t="str">
        <f>HYPERLINK("https://twitter.com/Ernesth00/status/1065360221906878464","1065360221906878464")</f>
        <v>1065360221906878464</v>
      </c>
      <c r="F1518" s="14" t="s">
        <v>3552</v>
      </c>
      <c r="G1518" s="14" t="s">
        <v>3164</v>
      </c>
      <c r="H1518" s="11"/>
      <c r="I1518" s="12">
        <v>0</v>
      </c>
      <c r="J1518" s="12">
        <v>0</v>
      </c>
      <c r="K1518" s="13" t="str">
        <f>HYPERLINK("http://twitter.com","Twitter Web Client")</f>
        <v>Twitter Web Client</v>
      </c>
      <c r="L1518" s="12">
        <v>82</v>
      </c>
      <c r="M1518" s="12">
        <v>246</v>
      </c>
      <c r="N1518" s="12">
        <v>0</v>
      </c>
      <c r="O1518" s="15"/>
      <c r="P1518" s="6">
        <v>40865.392627314817</v>
      </c>
      <c r="Q1518" s="16" t="s">
        <v>37</v>
      </c>
      <c r="R1518" s="19"/>
      <c r="S1518" s="11"/>
      <c r="T1518" s="11"/>
      <c r="U1518" s="10" t="str">
        <f>HYPERLINK("https://pbs.twimg.com/profile_images/751761528811057152/hdLff81_.jpg","View")</f>
        <v>View</v>
      </c>
    </row>
    <row r="1519" spans="1:21" ht="30.6">
      <c r="A1519" s="6">
        <v>43425.570092592592</v>
      </c>
      <c r="B1519" s="7" t="str">
        <f>HYPERLINK("https://twitter.com/patok0rna","@patok0rna")</f>
        <v>@patok0rna</v>
      </c>
      <c r="C1519" s="8" t="s">
        <v>6765</v>
      </c>
      <c r="D1519" s="9" t="s">
        <v>6766</v>
      </c>
      <c r="E1519" s="10" t="str">
        <f>HYPERLINK("https://twitter.com/patok0rna/status/1065359433339990017","1065359433339990017")</f>
        <v>1065359433339990017</v>
      </c>
      <c r="F1519" s="11"/>
      <c r="G1519" s="11"/>
      <c r="H1519" s="11"/>
      <c r="I1519" s="12">
        <v>1</v>
      </c>
      <c r="J1519" s="12">
        <v>2</v>
      </c>
      <c r="K1519" s="13" t="str">
        <f t="shared" ref="K1519:K1520" si="316">HYPERLINK("http://twitter.com/download/android","Twitter for Android")</f>
        <v>Twitter for Android</v>
      </c>
      <c r="L1519" s="12">
        <v>1055</v>
      </c>
      <c r="M1519" s="12">
        <v>1011</v>
      </c>
      <c r="N1519" s="12">
        <v>6</v>
      </c>
      <c r="O1519" s="15"/>
      <c r="P1519" s="6">
        <v>40634.220879629633</v>
      </c>
      <c r="Q1519" s="11"/>
      <c r="R1519" s="17" t="s">
        <v>6767</v>
      </c>
      <c r="S1519" s="11"/>
      <c r="T1519" s="11"/>
      <c r="U1519" s="10" t="str">
        <f>HYPERLINK("https://pbs.twimg.com/profile_images/1041742759311355905/KH6dnes2.jpg","View")</f>
        <v>View</v>
      </c>
    </row>
    <row r="1520" spans="1:21" ht="40.799999999999997">
      <c r="A1520" s="6">
        <v>43425.57</v>
      </c>
      <c r="B1520" s="7" t="str">
        <f>HYPERLINK("https://twitter.com/MarcoyMedio","@MarcoyMedio")</f>
        <v>@MarcoyMedio</v>
      </c>
      <c r="C1520" s="8" t="s">
        <v>6768</v>
      </c>
      <c r="D1520" s="9" t="s">
        <v>6769</v>
      </c>
      <c r="E1520" s="10" t="str">
        <f>HYPERLINK("https://twitter.com/MarcoyMedio/status/1065359399152218116","1065359399152218116")</f>
        <v>1065359399152218116</v>
      </c>
      <c r="F1520" s="11"/>
      <c r="G1520" s="11"/>
      <c r="H1520" s="11"/>
      <c r="I1520" s="12">
        <v>0</v>
      </c>
      <c r="J1520" s="12">
        <v>0</v>
      </c>
      <c r="K1520" s="13" t="str">
        <f t="shared" si="316"/>
        <v>Twitter for Android</v>
      </c>
      <c r="L1520" s="12">
        <v>44</v>
      </c>
      <c r="M1520" s="12">
        <v>240</v>
      </c>
      <c r="N1520" s="12">
        <v>0</v>
      </c>
      <c r="O1520" s="15"/>
      <c r="P1520" s="6">
        <v>43362.218969907408</v>
      </c>
      <c r="Q1520" s="11"/>
      <c r="R1520" s="17" t="s">
        <v>6770</v>
      </c>
      <c r="S1520" s="11"/>
      <c r="T1520" s="11"/>
      <c r="U1520" s="10" t="str">
        <f>HYPERLINK("https://pbs.twimg.com/profile_images/1063219918882185216/na2-twIY.jpg","View")</f>
        <v>View</v>
      </c>
    </row>
    <row r="1521" spans="1:21" ht="20.399999999999999">
      <c r="A1521" s="6">
        <v>43425.569664351853</v>
      </c>
      <c r="B1521" s="7" t="str">
        <f>HYPERLINK("https://twitter.com/made_in_farq","@made_in_farq")</f>
        <v>@made_in_farq</v>
      </c>
      <c r="C1521" s="8" t="s">
        <v>3553</v>
      </c>
      <c r="D1521" s="9" t="s">
        <v>3554</v>
      </c>
      <c r="E1521" s="10" t="str">
        <f>HYPERLINK("https://twitter.com/made_in_farq/status/1065359274203889664","1065359274203889664")</f>
        <v>1065359274203889664</v>
      </c>
      <c r="F1521" s="11"/>
      <c r="G1521" s="14" t="s">
        <v>3557</v>
      </c>
      <c r="H1521" s="11"/>
      <c r="I1521" s="12">
        <v>0</v>
      </c>
      <c r="J1521" s="12">
        <v>1</v>
      </c>
      <c r="K1521" s="13" t="str">
        <f t="shared" ref="K1521:K1522" si="317">HYPERLINK("http://twitter.com/download/iphone","Twitter for iPhone")</f>
        <v>Twitter for iPhone</v>
      </c>
      <c r="L1521" s="12">
        <v>123</v>
      </c>
      <c r="M1521" s="12">
        <v>230</v>
      </c>
      <c r="N1521" s="12">
        <v>1</v>
      </c>
      <c r="O1521" s="15"/>
      <c r="P1521" s="6">
        <v>42876.794131944444</v>
      </c>
      <c r="Q1521" s="16" t="s">
        <v>3558</v>
      </c>
      <c r="R1521" s="17" t="s">
        <v>3559</v>
      </c>
      <c r="S1521" s="11"/>
      <c r="T1521" s="11"/>
      <c r="U1521" s="10" t="str">
        <f>HYPERLINK("https://pbs.twimg.com/profile_images/1065561355783217152/zZsruF5B.jpg","View")</f>
        <v>View</v>
      </c>
    </row>
    <row r="1522" spans="1:21" ht="20.399999999999999">
      <c r="A1522" s="6">
        <v>43425.566990740743</v>
      </c>
      <c r="B1522" s="7" t="str">
        <f>HYPERLINK("https://twitter.com/rastrojul","@rastrojul")</f>
        <v>@rastrojul</v>
      </c>
      <c r="C1522" s="8" t="s">
        <v>3562</v>
      </c>
      <c r="D1522" s="9" t="s">
        <v>3563</v>
      </c>
      <c r="E1522" s="10" t="str">
        <f>HYPERLINK("https://twitter.com/rastrojul/status/1065358308326981632","1065358308326981632")</f>
        <v>1065358308326981632</v>
      </c>
      <c r="F1522" s="14" t="s">
        <v>3566</v>
      </c>
      <c r="G1522" s="11"/>
      <c r="H1522" s="11"/>
      <c r="I1522" s="12">
        <v>0</v>
      </c>
      <c r="J1522" s="12">
        <v>0</v>
      </c>
      <c r="K1522" s="13" t="str">
        <f t="shared" si="317"/>
        <v>Twitter for iPhone</v>
      </c>
      <c r="L1522" s="12">
        <v>21</v>
      </c>
      <c r="M1522" s="12">
        <v>88</v>
      </c>
      <c r="N1522" s="12">
        <v>0</v>
      </c>
      <c r="O1522" s="15"/>
      <c r="P1522" s="6">
        <v>40584.482071759259</v>
      </c>
      <c r="Q1522" s="11"/>
      <c r="R1522" s="19"/>
      <c r="S1522" s="11"/>
      <c r="T1522" s="11"/>
      <c r="U1522" s="10" t="str">
        <f>HYPERLINK("https://pbs.twimg.com/profile_images/915239269106626561/Ygj3coCt.jpg","View")</f>
        <v>View</v>
      </c>
    </row>
    <row r="1523" spans="1:21" ht="51">
      <c r="A1523" s="6">
        <v>43425.564756944441</v>
      </c>
      <c r="B1523" s="7" t="str">
        <f>HYPERLINK("https://twitter.com/lopezman1","@lopezman1")</f>
        <v>@lopezman1</v>
      </c>
      <c r="C1523" s="8" t="s">
        <v>6771</v>
      </c>
      <c r="D1523" s="9" t="s">
        <v>6772</v>
      </c>
      <c r="E1523" s="10" t="str">
        <f>HYPERLINK("https://twitter.com/lopezman1/status/1065357497442230279","1065357497442230279")</f>
        <v>1065357497442230279</v>
      </c>
      <c r="F1523" s="16" t="s">
        <v>6773</v>
      </c>
      <c r="G1523" s="11"/>
      <c r="H1523" s="11"/>
      <c r="I1523" s="12">
        <v>0</v>
      </c>
      <c r="J1523" s="12">
        <v>0</v>
      </c>
      <c r="K1523" s="13" t="str">
        <f>HYPERLINK("http://twitter.com/download/android","Twitter for Android")</f>
        <v>Twitter for Android</v>
      </c>
      <c r="L1523" s="12">
        <v>5805</v>
      </c>
      <c r="M1523" s="12">
        <v>5211</v>
      </c>
      <c r="N1523" s="12">
        <v>64</v>
      </c>
      <c r="O1523" s="15"/>
      <c r="P1523" s="6">
        <v>40743.447187500002</v>
      </c>
      <c r="Q1523" s="11"/>
      <c r="R1523" s="17" t="s">
        <v>6774</v>
      </c>
      <c r="S1523" s="11"/>
      <c r="T1523" s="11"/>
      <c r="U1523" s="10" t="str">
        <f>HYPERLINK("https://pbs.twimg.com/profile_images/1013483645435248642/B2UqBT2j.jpg","View")</f>
        <v>View</v>
      </c>
    </row>
    <row r="1524" spans="1:21" ht="20.399999999999999">
      <c r="A1524" s="6">
        <v>43425.564479166671</v>
      </c>
      <c r="B1524" s="7" t="str">
        <f>HYPERLINK("https://twitter.com/rightascension","@rightascension")</f>
        <v>@rightascension</v>
      </c>
      <c r="C1524" s="8" t="s">
        <v>3569</v>
      </c>
      <c r="D1524" s="9" t="s">
        <v>3570</v>
      </c>
      <c r="E1524" s="10" t="str">
        <f>HYPERLINK("https://twitter.com/rightascension/status/1065357397861040129","1065357397861040129")</f>
        <v>1065357397861040129</v>
      </c>
      <c r="F1524" s="14" t="s">
        <v>3572</v>
      </c>
      <c r="G1524" s="11"/>
      <c r="H1524" s="11"/>
      <c r="I1524" s="12">
        <v>0</v>
      </c>
      <c r="J1524" s="12">
        <v>0</v>
      </c>
      <c r="K1524" s="13" t="str">
        <f>HYPERLINK("http://twitter.com/download/iphone","Twitter for iPhone")</f>
        <v>Twitter for iPhone</v>
      </c>
      <c r="L1524" s="12">
        <v>32</v>
      </c>
      <c r="M1524" s="12">
        <v>175</v>
      </c>
      <c r="N1524" s="12">
        <v>0</v>
      </c>
      <c r="O1524" s="15"/>
      <c r="P1524" s="6">
        <v>40408.15116898148</v>
      </c>
      <c r="Q1524" s="11"/>
      <c r="R1524" s="19"/>
      <c r="S1524" s="11"/>
      <c r="T1524" s="11"/>
      <c r="U1524" s="10" t="str">
        <f>HYPERLINK("https://pbs.twimg.com/profile_images/918907382037712896/8vpgWxCa.jpg","View")</f>
        <v>View</v>
      </c>
    </row>
    <row r="1525" spans="1:21" ht="51">
      <c r="A1525" s="6">
        <v>43425.563807870371</v>
      </c>
      <c r="B1525" s="7" t="str">
        <f>HYPERLINK("https://twitter.com/RobertoRiosismo","@RobertoRiosismo")</f>
        <v>@RobertoRiosismo</v>
      </c>
      <c r="C1525" s="8" t="s">
        <v>6775</v>
      </c>
      <c r="D1525" s="9" t="s">
        <v>6776</v>
      </c>
      <c r="E1525" s="10" t="str">
        <f>HYPERLINK("https://twitter.com/RobertoRiosismo/status/1065357154616557568","1065357154616557568")</f>
        <v>1065357154616557568</v>
      </c>
      <c r="F1525" s="11"/>
      <c r="G1525" s="11"/>
      <c r="H1525" s="11"/>
      <c r="I1525" s="12">
        <v>1</v>
      </c>
      <c r="J1525" s="12">
        <v>2</v>
      </c>
      <c r="K1525" s="13" t="str">
        <f t="shared" ref="K1525:K1526" si="318">HYPERLINK("http://twitter.com/download/android","Twitter for Android")</f>
        <v>Twitter for Android</v>
      </c>
      <c r="L1525" s="12">
        <v>675</v>
      </c>
      <c r="M1525" s="12">
        <v>612</v>
      </c>
      <c r="N1525" s="12">
        <v>5</v>
      </c>
      <c r="O1525" s="15"/>
      <c r="P1525" s="6">
        <v>42749.131030092598</v>
      </c>
      <c r="Q1525" s="11"/>
      <c r="R1525" s="17" t="s">
        <v>6777</v>
      </c>
      <c r="S1525" s="11"/>
      <c r="T1525" s="11"/>
      <c r="U1525" s="10" t="str">
        <f>HYPERLINK("https://pbs.twimg.com/profile_images/1031540590771687427/GfGS_U0X.jpg","View")</f>
        <v>View</v>
      </c>
    </row>
    <row r="1526" spans="1:21" ht="40.799999999999997">
      <c r="A1526" s="6">
        <v>43425.563009259262</v>
      </c>
      <c r="B1526" s="7" t="str">
        <f>HYPERLINK("https://twitter.com/SoyPabloMiguel","@SoyPabloMiguel")</f>
        <v>@SoyPabloMiguel</v>
      </c>
      <c r="C1526" s="8" t="s">
        <v>6778</v>
      </c>
      <c r="D1526" s="9" t="s">
        <v>6779</v>
      </c>
      <c r="E1526" s="10" t="str">
        <f>HYPERLINK("https://twitter.com/SoyPabloMiguel/status/1065356864697892864","1065356864697892864")</f>
        <v>1065356864697892864</v>
      </c>
      <c r="F1526" s="14" t="s">
        <v>420</v>
      </c>
      <c r="G1526" s="14" t="s">
        <v>6780</v>
      </c>
      <c r="H1526" s="11"/>
      <c r="I1526" s="12">
        <v>0</v>
      </c>
      <c r="J1526" s="12">
        <v>2</v>
      </c>
      <c r="K1526" s="13" t="str">
        <f t="shared" si="318"/>
        <v>Twitter for Android</v>
      </c>
      <c r="L1526" s="12">
        <v>4112</v>
      </c>
      <c r="M1526" s="12">
        <v>523</v>
      </c>
      <c r="N1526" s="12">
        <v>43</v>
      </c>
      <c r="O1526" s="15"/>
      <c r="P1526" s="6">
        <v>40305.471261574072</v>
      </c>
      <c r="Q1526" s="16" t="s">
        <v>6781</v>
      </c>
      <c r="R1526" s="17" t="s">
        <v>6782</v>
      </c>
      <c r="S1526" s="14" t="s">
        <v>6783</v>
      </c>
      <c r="T1526" s="11"/>
      <c r="U1526" s="10" t="str">
        <f>HYPERLINK("https://pbs.twimg.com/profile_images/696457643838332929/_mPP00TQ.jpg","View")</f>
        <v>View</v>
      </c>
    </row>
    <row r="1527" spans="1:21" ht="40.799999999999997">
      <c r="A1527" s="6">
        <v>43425.560231481482</v>
      </c>
      <c r="B1527" s="7" t="str">
        <f>HYPERLINK("https://twitter.com/AdeSiracusa","@AdeSiracusa")</f>
        <v>@AdeSiracusa</v>
      </c>
      <c r="C1527" s="8" t="s">
        <v>3890</v>
      </c>
      <c r="D1527" s="9" t="s">
        <v>6784</v>
      </c>
      <c r="E1527" s="10" t="str">
        <f>HYPERLINK("https://twitter.com/AdeSiracusa/status/1065355859620974593","1065355859620974593")</f>
        <v>1065355859620974593</v>
      </c>
      <c r="F1527" s="14" t="s">
        <v>6785</v>
      </c>
      <c r="G1527" s="11"/>
      <c r="H1527" s="11"/>
      <c r="I1527" s="12">
        <v>0</v>
      </c>
      <c r="J1527" s="12">
        <v>0</v>
      </c>
      <c r="K1527" s="13" t="str">
        <f>HYPERLINK("http://www.republicosvenezuela.com/","AdeSiracusa")</f>
        <v>AdeSiracusa</v>
      </c>
      <c r="L1527" s="12">
        <v>3920</v>
      </c>
      <c r="M1527" s="12">
        <v>3927</v>
      </c>
      <c r="N1527" s="12">
        <v>12</v>
      </c>
      <c r="O1527" s="15"/>
      <c r="P1527" s="6">
        <v>42958.201388888891</v>
      </c>
      <c r="Q1527" s="16" t="s">
        <v>3893</v>
      </c>
      <c r="R1527" s="17" t="s">
        <v>3894</v>
      </c>
      <c r="S1527" s="11"/>
      <c r="T1527" s="11"/>
      <c r="U1527" s="10" t="str">
        <f>HYPERLINK("https://pbs.twimg.com/profile_images/895978354591105024/x2wNXrPl.jpg","View")</f>
        <v>View</v>
      </c>
    </row>
    <row r="1528" spans="1:21" ht="40.799999999999997">
      <c r="A1528" s="6">
        <v>43425.560011574074</v>
      </c>
      <c r="B1528" s="7" t="str">
        <f>HYPERLINK("https://twitter.com/AdriaPa1806","@AdriaPa1806")</f>
        <v>@AdriaPa1806</v>
      </c>
      <c r="C1528" s="8" t="s">
        <v>3574</v>
      </c>
      <c r="D1528" s="9" t="s">
        <v>3575</v>
      </c>
      <c r="E1528" s="10" t="str">
        <f>HYPERLINK("https://twitter.com/AdriaPa1806/status/1065355777874042882","1065355777874042882")</f>
        <v>1065355777874042882</v>
      </c>
      <c r="F1528" s="11"/>
      <c r="G1528" s="11"/>
      <c r="H1528" s="11"/>
      <c r="I1528" s="12">
        <v>0</v>
      </c>
      <c r="J1528" s="12">
        <v>0</v>
      </c>
      <c r="K1528" s="13" t="str">
        <f t="shared" ref="K1528:K1529" si="319">HYPERLINK("http://twitter.com/download/android","Twitter for Android")</f>
        <v>Twitter for Android</v>
      </c>
      <c r="L1528" s="12">
        <v>75</v>
      </c>
      <c r="M1528" s="12">
        <v>136</v>
      </c>
      <c r="N1528" s="12">
        <v>2</v>
      </c>
      <c r="O1528" s="15"/>
      <c r="P1528" s="6">
        <v>42373.348726851851</v>
      </c>
      <c r="Q1528" s="11"/>
      <c r="R1528" s="17" t="s">
        <v>3576</v>
      </c>
      <c r="S1528" s="11"/>
      <c r="T1528" s="11"/>
      <c r="U1528" s="10" t="str">
        <f>HYPERLINK("https://pbs.twimg.com/profile_images/1057032924816687105/DjW6a-lz.jpg","View")</f>
        <v>View</v>
      </c>
    </row>
    <row r="1529" spans="1:21" ht="40.799999999999997">
      <c r="A1529" s="6">
        <v>43425.554537037038</v>
      </c>
      <c r="B1529" s="7" t="str">
        <f>HYPERLINK("https://twitter.com/alfonsojag","@alfonsojag")</f>
        <v>@alfonsojag</v>
      </c>
      <c r="C1529" s="8" t="s">
        <v>6786</v>
      </c>
      <c r="D1529" s="9" t="s">
        <v>6787</v>
      </c>
      <c r="E1529" s="10" t="str">
        <f>HYPERLINK("https://twitter.com/alfonsojag/status/1065353794396045313","1065353794396045313")</f>
        <v>1065353794396045313</v>
      </c>
      <c r="F1529" s="11"/>
      <c r="G1529" s="11"/>
      <c r="H1529" s="11"/>
      <c r="I1529" s="12">
        <v>0</v>
      </c>
      <c r="J1529" s="12">
        <v>7</v>
      </c>
      <c r="K1529" s="13" t="str">
        <f t="shared" si="319"/>
        <v>Twitter for Android</v>
      </c>
      <c r="L1529" s="12">
        <v>1204</v>
      </c>
      <c r="M1529" s="12">
        <v>1494</v>
      </c>
      <c r="N1529" s="12">
        <v>27</v>
      </c>
      <c r="O1529" s="15"/>
      <c r="P1529" s="6">
        <v>40691.532048611109</v>
      </c>
      <c r="Q1529" s="16" t="s">
        <v>132</v>
      </c>
      <c r="R1529" s="17" t="s">
        <v>6788</v>
      </c>
      <c r="S1529" s="11"/>
      <c r="T1529" s="11"/>
      <c r="U1529" s="10" t="str">
        <f>HYPERLINK("https://pbs.twimg.com/profile_images/980927482529484801/U2R2WD8L.jpg","View")</f>
        <v>View</v>
      </c>
    </row>
    <row r="1530" spans="1:21" ht="51">
      <c r="A1530" s="6">
        <v>43425.553726851853</v>
      </c>
      <c r="B1530" s="7" t="str">
        <f>HYPERLINK("https://twitter.com/bitMomentum","@bitMomentum")</f>
        <v>@bitMomentum</v>
      </c>
      <c r="C1530" s="8" t="s">
        <v>1033</v>
      </c>
      <c r="D1530" s="9" t="s">
        <v>3577</v>
      </c>
      <c r="E1530" s="10" t="str">
        <f>HYPERLINK("https://twitter.com/bitMomentum/status/1065353499842674691","1065353499842674691")</f>
        <v>1065353499842674691</v>
      </c>
      <c r="F1530" s="11"/>
      <c r="G1530" s="14" t="s">
        <v>3578</v>
      </c>
      <c r="H1530" s="11"/>
      <c r="I1530" s="12">
        <v>0</v>
      </c>
      <c r="J1530" s="12">
        <v>0</v>
      </c>
      <c r="K1530" s="13" t="str">
        <f>HYPERLINK("http://www.bitmomentum.com","bitMomentum Bot")</f>
        <v>bitMomentum Bot</v>
      </c>
      <c r="L1530" s="12">
        <v>10132</v>
      </c>
      <c r="M1530" s="12">
        <v>1060</v>
      </c>
      <c r="N1530" s="12">
        <v>267</v>
      </c>
      <c r="O1530" s="15"/>
      <c r="P1530" s="6">
        <v>41608.292511574073</v>
      </c>
      <c r="Q1530" s="11"/>
      <c r="R1530" s="17" t="s">
        <v>1038</v>
      </c>
      <c r="S1530" s="14" t="s">
        <v>1039</v>
      </c>
      <c r="T1530" s="11"/>
      <c r="U1530" s="10" t="str">
        <f>HYPERLINK("https://pbs.twimg.com/profile_images/378800000862185241/20ij2H3u.png","View")</f>
        <v>View</v>
      </c>
    </row>
    <row r="1531" spans="1:21" ht="40.799999999999997">
      <c r="A1531" s="6">
        <v>43425.553414351853</v>
      </c>
      <c r="B1531" s="7" t="str">
        <f>HYPERLINK("https://twitter.com/KikeMoratalaz","@KikeMoratalaz")</f>
        <v>@KikeMoratalaz</v>
      </c>
      <c r="C1531" s="8" t="s">
        <v>3580</v>
      </c>
      <c r="D1531" s="9" t="s">
        <v>3581</v>
      </c>
      <c r="E1531" s="10" t="str">
        <f>HYPERLINK("https://twitter.com/KikeMoratalaz/status/1065353388211257344","1065353388211257344")</f>
        <v>1065353388211257344</v>
      </c>
      <c r="F1531" s="14" t="s">
        <v>3582</v>
      </c>
      <c r="G1531" s="11"/>
      <c r="H1531" s="11"/>
      <c r="I1531" s="12">
        <v>0</v>
      </c>
      <c r="J1531" s="12">
        <v>1</v>
      </c>
      <c r="K1531" s="13" t="str">
        <f>HYPERLINK("http://twitter.com/download/android","Twitter for Android")</f>
        <v>Twitter for Android</v>
      </c>
      <c r="L1531" s="12">
        <v>3075</v>
      </c>
      <c r="M1531" s="12">
        <v>594</v>
      </c>
      <c r="N1531" s="12">
        <v>76</v>
      </c>
      <c r="O1531" s="15"/>
      <c r="P1531" s="6">
        <v>40700.660011574073</v>
      </c>
      <c r="Q1531" s="16" t="s">
        <v>3583</v>
      </c>
      <c r="R1531" s="17" t="s">
        <v>3584</v>
      </c>
      <c r="S1531" s="14" t="s">
        <v>3585</v>
      </c>
      <c r="T1531" s="11"/>
      <c r="U1531" s="10" t="str">
        <f>HYPERLINK("https://pbs.twimg.com/profile_images/1058791556784836608/4x0a3CHe.jpg","View")</f>
        <v>View</v>
      </c>
    </row>
    <row r="1532" spans="1:21" ht="40.799999999999997">
      <c r="A1532" s="6">
        <v>43425.553043981483</v>
      </c>
      <c r="B1532" s="7" t="str">
        <f>HYPERLINK("https://twitter.com/bitMomentum","@bitMomentum")</f>
        <v>@bitMomentum</v>
      </c>
      <c r="C1532" s="8" t="s">
        <v>1033</v>
      </c>
      <c r="D1532" s="9" t="s">
        <v>3587</v>
      </c>
      <c r="E1532" s="10" t="str">
        <f>HYPERLINK("https://twitter.com/bitMomentum/status/1065353252127031302","1065353252127031302")</f>
        <v>1065353252127031302</v>
      </c>
      <c r="F1532" s="11"/>
      <c r="G1532" s="14" t="s">
        <v>3588</v>
      </c>
      <c r="H1532" s="11"/>
      <c r="I1532" s="12">
        <v>0</v>
      </c>
      <c r="J1532" s="12">
        <v>0</v>
      </c>
      <c r="K1532" s="13" t="str">
        <f>HYPERLINK("http://www.bitmomentum.com","bitMomentum Bot")</f>
        <v>bitMomentum Bot</v>
      </c>
      <c r="L1532" s="12">
        <v>10132</v>
      </c>
      <c r="M1532" s="12">
        <v>1060</v>
      </c>
      <c r="N1532" s="12">
        <v>267</v>
      </c>
      <c r="O1532" s="15"/>
      <c r="P1532" s="6">
        <v>41608.292511574073</v>
      </c>
      <c r="Q1532" s="11"/>
      <c r="R1532" s="17" t="s">
        <v>1038</v>
      </c>
      <c r="S1532" s="14" t="s">
        <v>1039</v>
      </c>
      <c r="T1532" s="11"/>
      <c r="U1532" s="10" t="str">
        <f>HYPERLINK("https://pbs.twimg.com/profile_images/378800000862185241/20ij2H3u.png","View")</f>
        <v>View</v>
      </c>
    </row>
    <row r="1533" spans="1:21" ht="51">
      <c r="A1533" s="6">
        <v>43425.552372685182</v>
      </c>
      <c r="B1533" s="7" t="str">
        <f>HYPERLINK("https://twitter.com/dquerog","@dquerog")</f>
        <v>@dquerog</v>
      </c>
      <c r="C1533" s="8" t="s">
        <v>6789</v>
      </c>
      <c r="D1533" s="9" t="s">
        <v>6790</v>
      </c>
      <c r="E1533" s="10" t="str">
        <f>HYPERLINK("https://twitter.com/dquerog/status/1065353008257609729","1065353008257609729")</f>
        <v>1065353008257609729</v>
      </c>
      <c r="F1533" s="11"/>
      <c r="G1533" s="14" t="s">
        <v>4012</v>
      </c>
      <c r="H1533" s="11"/>
      <c r="I1533" s="12">
        <v>38</v>
      </c>
      <c r="J1533" s="12">
        <v>37</v>
      </c>
      <c r="K1533" s="13" t="str">
        <f>HYPERLINK("http://twitter.com/download/iphone","Twitter for iPhone")</f>
        <v>Twitter for iPhone</v>
      </c>
      <c r="L1533" s="12">
        <v>565</v>
      </c>
      <c r="M1533" s="12">
        <v>1699</v>
      </c>
      <c r="N1533" s="12">
        <v>15</v>
      </c>
      <c r="O1533" s="15"/>
      <c r="P1533" s="6">
        <v>40800.221655092595</v>
      </c>
      <c r="Q1533" s="16" t="s">
        <v>6791</v>
      </c>
      <c r="R1533" s="17" t="s">
        <v>6792</v>
      </c>
      <c r="S1533" s="11"/>
      <c r="T1533" s="11"/>
      <c r="U1533" s="10" t="str">
        <f>HYPERLINK("https://pbs.twimg.com/profile_images/885543539203092480/UDiHAiG7.jpg","View")</f>
        <v>View</v>
      </c>
    </row>
    <row r="1534" spans="1:21" ht="81.599999999999994">
      <c r="A1534" s="6">
        <v>43425.549733796295</v>
      </c>
      <c r="B1534" s="7" t="str">
        <f>HYPERLINK("https://twitter.com/donal_tramp_","@donal_tramp_")</f>
        <v>@donal_tramp_</v>
      </c>
      <c r="C1534" s="8" t="s">
        <v>3589</v>
      </c>
      <c r="D1534" s="9" t="s">
        <v>3590</v>
      </c>
      <c r="E1534" s="10" t="str">
        <f>HYPERLINK("https://twitter.com/donal_tramp_/status/1065352055030759424","1065352055030759424")</f>
        <v>1065352055030759424</v>
      </c>
      <c r="F1534" s="14" t="s">
        <v>3591</v>
      </c>
      <c r="G1534" s="11"/>
      <c r="H1534" s="11"/>
      <c r="I1534" s="12">
        <v>0</v>
      </c>
      <c r="J1534" s="12">
        <v>0</v>
      </c>
      <c r="K1534" s="13" t="str">
        <f>HYPERLINK("http://twitter.com/#!/download/ipad","Twitter for iPad")</f>
        <v>Twitter for iPad</v>
      </c>
      <c r="L1534" s="12">
        <v>456</v>
      </c>
      <c r="M1534" s="12">
        <v>221</v>
      </c>
      <c r="N1534" s="12">
        <v>3</v>
      </c>
      <c r="O1534" s="15"/>
      <c r="P1534" s="6">
        <v>42770.515405092592</v>
      </c>
      <c r="Q1534" s="16" t="s">
        <v>3592</v>
      </c>
      <c r="R1534" s="17" t="s">
        <v>3593</v>
      </c>
      <c r="S1534" s="11"/>
      <c r="T1534" s="11"/>
      <c r="U1534" s="10" t="str">
        <f>HYPERLINK("https://pbs.twimg.com/profile_images/828001447556087808/xhAMJCyI.jpg","View")</f>
        <v>View</v>
      </c>
    </row>
    <row r="1535" spans="1:21" ht="81.599999999999994">
      <c r="A1535" s="6">
        <v>43425.547314814816</v>
      </c>
      <c r="B1535" s="7" t="str">
        <f>HYPERLINK("https://twitter.com/rightascension","@rightascension")</f>
        <v>@rightascension</v>
      </c>
      <c r="C1535" s="8" t="s">
        <v>3569</v>
      </c>
      <c r="D1535" s="9" t="s">
        <v>3594</v>
      </c>
      <c r="E1535" s="10" t="str">
        <f>HYPERLINK("https://twitter.com/rightascension/status/1065351177779462149","1065351177779462149")</f>
        <v>1065351177779462149</v>
      </c>
      <c r="F1535" s="14" t="s">
        <v>3595</v>
      </c>
      <c r="G1535" s="11"/>
      <c r="H1535" s="11"/>
      <c r="I1535" s="12">
        <v>0</v>
      </c>
      <c r="J1535" s="12">
        <v>0</v>
      </c>
      <c r="K1535" s="13" t="str">
        <f>HYPERLINK("http://twitter.com/download/iphone","Twitter for iPhone")</f>
        <v>Twitter for iPhone</v>
      </c>
      <c r="L1535" s="12">
        <v>32</v>
      </c>
      <c r="M1535" s="12">
        <v>175</v>
      </c>
      <c r="N1535" s="12">
        <v>0</v>
      </c>
      <c r="O1535" s="15"/>
      <c r="P1535" s="6">
        <v>40408.15116898148</v>
      </c>
      <c r="Q1535" s="11"/>
      <c r="R1535" s="19"/>
      <c r="S1535" s="11"/>
      <c r="T1535" s="11"/>
      <c r="U1535" s="10" t="str">
        <f>HYPERLINK("https://pbs.twimg.com/profile_images/918907382037712896/8vpgWxCa.jpg","View")</f>
        <v>View</v>
      </c>
    </row>
    <row r="1536" spans="1:21" ht="51">
      <c r="A1536" s="6">
        <v>43425.5466087963</v>
      </c>
      <c r="B1536" s="7" t="str">
        <f>HYPERLINK("https://twitter.com/TVidriera","@TVidriera")</f>
        <v>@TVidriera</v>
      </c>
      <c r="C1536" s="8" t="s">
        <v>3596</v>
      </c>
      <c r="D1536" s="9" t="s">
        <v>3597</v>
      </c>
      <c r="E1536" s="10" t="str">
        <f>HYPERLINK("https://twitter.com/TVidriera/status/1065350921868201989","1065350921868201989")</f>
        <v>1065350921868201989</v>
      </c>
      <c r="F1536" s="11"/>
      <c r="G1536" s="11"/>
      <c r="H1536" s="11"/>
      <c r="I1536" s="12">
        <v>0</v>
      </c>
      <c r="J1536" s="12">
        <v>0</v>
      </c>
      <c r="K1536" s="13" t="str">
        <f>HYPERLINK("https://mobile.twitter.com","Twitter Lite")</f>
        <v>Twitter Lite</v>
      </c>
      <c r="L1536" s="12">
        <v>60</v>
      </c>
      <c r="M1536" s="12">
        <v>29</v>
      </c>
      <c r="N1536" s="12">
        <v>0</v>
      </c>
      <c r="O1536" s="15"/>
      <c r="P1536" s="6">
        <v>43351.619953703703</v>
      </c>
      <c r="Q1536" s="16" t="s">
        <v>28</v>
      </c>
      <c r="R1536" s="17" t="s">
        <v>3598</v>
      </c>
      <c r="S1536" s="11"/>
      <c r="T1536" s="11"/>
      <c r="U1536" s="10" t="str">
        <f>HYPERLINK("https://pbs.twimg.com/profile_images/1038576805433815045/OP0C2Z4c.jpg","View")</f>
        <v>View</v>
      </c>
    </row>
    <row r="1537" spans="1:21" ht="91.8">
      <c r="A1537" s="6">
        <v>43425.546377314815</v>
      </c>
      <c r="B1537" s="7" t="str">
        <f>HYPERLINK("https://twitter.com/Mickey1234Mouse","@Mickey1234Mouse")</f>
        <v>@Mickey1234Mouse</v>
      </c>
      <c r="C1537" s="8" t="s">
        <v>2409</v>
      </c>
      <c r="D1537" s="9" t="s">
        <v>3599</v>
      </c>
      <c r="E1537" s="10" t="str">
        <f>HYPERLINK("https://twitter.com/Mickey1234Mouse/status/1065350836228972550","1065350836228972550")</f>
        <v>1065350836228972550</v>
      </c>
      <c r="F1537" s="16" t="s">
        <v>3602</v>
      </c>
      <c r="G1537" s="11"/>
      <c r="H1537" s="11"/>
      <c r="I1537" s="12">
        <v>0</v>
      </c>
      <c r="J1537" s="12">
        <v>0</v>
      </c>
      <c r="K1537" s="13" t="str">
        <f>HYPERLINK("http://twitter.com/#!/download/ipad","Twitter for iPad")</f>
        <v>Twitter for iPad</v>
      </c>
      <c r="L1537" s="12">
        <v>154</v>
      </c>
      <c r="M1537" s="12">
        <v>747</v>
      </c>
      <c r="N1537" s="12">
        <v>0</v>
      </c>
      <c r="O1537" s="15"/>
      <c r="P1537" s="6">
        <v>42559.168807870374</v>
      </c>
      <c r="Q1537" s="16" t="s">
        <v>3603</v>
      </c>
      <c r="R1537" s="17" t="s">
        <v>3604</v>
      </c>
      <c r="S1537" s="11"/>
      <c r="T1537" s="11"/>
      <c r="U1537" s="10" t="str">
        <f>HYPERLINK("https://pbs.twimg.com/profile_images/924439030909030401/cGCy7v2u.jpg","View")</f>
        <v>View</v>
      </c>
    </row>
    <row r="1538" spans="1:21" ht="61.2">
      <c r="A1538" s="6">
        <v>43425.545972222222</v>
      </c>
      <c r="B1538" s="7" t="str">
        <f>HYPERLINK("https://twitter.com/EvaEvitaEva5","@EvaEvitaEva5")</f>
        <v>@EvaEvitaEva5</v>
      </c>
      <c r="C1538" s="8" t="s">
        <v>3607</v>
      </c>
      <c r="D1538" s="9" t="s">
        <v>3608</v>
      </c>
      <c r="E1538" s="10" t="str">
        <f>HYPERLINK("https://twitter.com/EvaEvitaEva5/status/1065350691839983616","1065350691839983616")</f>
        <v>1065350691839983616</v>
      </c>
      <c r="F1538" s="11"/>
      <c r="G1538" s="14" t="s">
        <v>3611</v>
      </c>
      <c r="H1538" s="11"/>
      <c r="I1538" s="12">
        <v>1</v>
      </c>
      <c r="J1538" s="12">
        <v>1</v>
      </c>
      <c r="K1538" s="13" t="str">
        <f>HYPERLINK("http://twitter.com/download/android","Twitter for Android")</f>
        <v>Twitter for Android</v>
      </c>
      <c r="L1538" s="12">
        <v>15</v>
      </c>
      <c r="M1538" s="12">
        <v>59</v>
      </c>
      <c r="N1538" s="12">
        <v>0</v>
      </c>
      <c r="O1538" s="15"/>
      <c r="P1538" s="6">
        <v>43167.025138888886</v>
      </c>
      <c r="Q1538" s="16" t="s">
        <v>3612</v>
      </c>
      <c r="R1538" s="17" t="s">
        <v>3614</v>
      </c>
      <c r="S1538" s="11"/>
      <c r="T1538" s="11"/>
      <c r="U1538" s="10" t="str">
        <f>HYPERLINK("https://pbs.twimg.com/profile_images/1064860572246818816/roTWVcF1.jpg","View")</f>
        <v>View</v>
      </c>
    </row>
    <row r="1539" spans="1:21" ht="51">
      <c r="A1539" s="6">
        <v>43425.545972222222</v>
      </c>
      <c r="B1539" s="7" t="str">
        <f t="shared" ref="B1539:B1540" si="320">HYPERLINK("https://twitter.com/Joseluis9819819","@Joseluis9819819")</f>
        <v>@Joseluis9819819</v>
      </c>
      <c r="C1539" s="8" t="s">
        <v>6752</v>
      </c>
      <c r="D1539" s="9" t="s">
        <v>6793</v>
      </c>
      <c r="E1539" s="10" t="str">
        <f>HYPERLINK("https://twitter.com/Joseluis9819819/status/1065350688652300289","1065350688652300289")</f>
        <v>1065350688652300289</v>
      </c>
      <c r="F1539" s="11"/>
      <c r="G1539" s="14" t="s">
        <v>6794</v>
      </c>
      <c r="H1539" s="11"/>
      <c r="I1539" s="12">
        <v>0</v>
      </c>
      <c r="J1539" s="12">
        <v>0</v>
      </c>
      <c r="K1539" s="13" t="str">
        <f t="shared" ref="K1539:K1541" si="321">HYPERLINK("http://twitter.com","Twitter Web Client")</f>
        <v>Twitter Web Client</v>
      </c>
      <c r="L1539" s="12">
        <v>1141</v>
      </c>
      <c r="M1539" s="12">
        <v>1198</v>
      </c>
      <c r="N1539" s="12">
        <v>4</v>
      </c>
      <c r="O1539" s="15"/>
      <c r="P1539" s="6">
        <v>42762.435601851852</v>
      </c>
      <c r="Q1539" s="16" t="s">
        <v>6755</v>
      </c>
      <c r="R1539" s="17" t="s">
        <v>6756</v>
      </c>
      <c r="S1539" s="11"/>
      <c r="T1539" s="11"/>
      <c r="U1539" s="10" t="str">
        <f t="shared" ref="U1539:U1540" si="322">HYPERLINK("https://pbs.twimg.com/profile_images/922507954200416258/mEHj1Ixm.jpg","View")</f>
        <v>View</v>
      </c>
    </row>
    <row r="1540" spans="1:21" ht="51">
      <c r="A1540" s="6">
        <v>43425.545659722222</v>
      </c>
      <c r="B1540" s="7" t="str">
        <f t="shared" si="320"/>
        <v>@Joseluis9819819</v>
      </c>
      <c r="C1540" s="8" t="s">
        <v>6752</v>
      </c>
      <c r="D1540" s="9" t="s">
        <v>6793</v>
      </c>
      <c r="E1540" s="10" t="str">
        <f>HYPERLINK("https://twitter.com/Joseluis9819819/status/1065350576366604299","1065350576366604299")</f>
        <v>1065350576366604299</v>
      </c>
      <c r="F1540" s="11"/>
      <c r="G1540" s="14" t="s">
        <v>6795</v>
      </c>
      <c r="H1540" s="11"/>
      <c r="I1540" s="12">
        <v>0</v>
      </c>
      <c r="J1540" s="12">
        <v>0</v>
      </c>
      <c r="K1540" s="13" t="str">
        <f t="shared" si="321"/>
        <v>Twitter Web Client</v>
      </c>
      <c r="L1540" s="12">
        <v>1141</v>
      </c>
      <c r="M1540" s="12">
        <v>1198</v>
      </c>
      <c r="N1540" s="12">
        <v>4</v>
      </c>
      <c r="O1540" s="15"/>
      <c r="P1540" s="6">
        <v>42762.435601851852</v>
      </c>
      <c r="Q1540" s="16" t="s">
        <v>6755</v>
      </c>
      <c r="R1540" s="17" t="s">
        <v>6756</v>
      </c>
      <c r="S1540" s="11"/>
      <c r="T1540" s="11"/>
      <c r="U1540" s="10" t="str">
        <f t="shared" si="322"/>
        <v>View</v>
      </c>
    </row>
    <row r="1541" spans="1:21" ht="30.6">
      <c r="A1541" s="6">
        <v>43425.544687500005</v>
      </c>
      <c r="B1541" s="7" t="str">
        <f>HYPERLINK("https://twitter.com/gaab75","@gaab75")</f>
        <v>@gaab75</v>
      </c>
      <c r="C1541" s="8" t="s">
        <v>6160</v>
      </c>
      <c r="D1541" s="9" t="s">
        <v>6796</v>
      </c>
      <c r="E1541" s="10" t="str">
        <f>HYPERLINK("https://twitter.com/gaab75/status/1065350224879718401","1065350224879718401")</f>
        <v>1065350224879718401</v>
      </c>
      <c r="F1541" s="11"/>
      <c r="G1541" s="11"/>
      <c r="H1541" s="11"/>
      <c r="I1541" s="12">
        <v>0</v>
      </c>
      <c r="J1541" s="12">
        <v>1</v>
      </c>
      <c r="K1541" s="13" t="str">
        <f t="shared" si="321"/>
        <v>Twitter Web Client</v>
      </c>
      <c r="L1541" s="12">
        <v>3587</v>
      </c>
      <c r="M1541" s="12">
        <v>1540</v>
      </c>
      <c r="N1541" s="12">
        <v>96</v>
      </c>
      <c r="O1541" s="15"/>
      <c r="P1541" s="6">
        <v>40128.580196759256</v>
      </c>
      <c r="Q1541" s="16" t="s">
        <v>214</v>
      </c>
      <c r="R1541" s="17" t="s">
        <v>6162</v>
      </c>
      <c r="S1541" s="14" t="s">
        <v>6163</v>
      </c>
      <c r="T1541" s="11"/>
      <c r="U1541" s="10" t="str">
        <f>HYPERLINK("https://pbs.twimg.com/profile_images/958087622638948354/Nn7-v7sP.jpg","View")</f>
        <v>View</v>
      </c>
    </row>
    <row r="1542" spans="1:21" ht="81.599999999999994">
      <c r="A1542" s="6">
        <v>43425.544432870374</v>
      </c>
      <c r="B1542" s="7" t="str">
        <f>HYPERLINK("https://twitter.com/ManuelBaezD","@ManuelBaezD")</f>
        <v>@ManuelBaezD</v>
      </c>
      <c r="C1542" s="8" t="s">
        <v>3618</v>
      </c>
      <c r="D1542" s="9" t="s">
        <v>3619</v>
      </c>
      <c r="E1542" s="10" t="str">
        <f>HYPERLINK("https://twitter.com/ManuelBaezD/status/1065350130575073280","1065350130575073280")</f>
        <v>1065350130575073280</v>
      </c>
      <c r="F1542" s="16" t="s">
        <v>3621</v>
      </c>
      <c r="G1542" s="14" t="s">
        <v>3622</v>
      </c>
      <c r="H1542" s="11"/>
      <c r="I1542" s="12">
        <v>0</v>
      </c>
      <c r="J1542" s="12">
        <v>0</v>
      </c>
      <c r="K1542" s="13" t="str">
        <f>HYPERLINK("https://about.twitter.com/products/tweetdeck","TweetDeck")</f>
        <v>TweetDeck</v>
      </c>
      <c r="L1542" s="12">
        <v>1403</v>
      </c>
      <c r="M1542" s="12">
        <v>1076</v>
      </c>
      <c r="N1542" s="12">
        <v>11</v>
      </c>
      <c r="O1542" s="15"/>
      <c r="P1542" s="6">
        <v>42032.347337962958</v>
      </c>
      <c r="Q1542" s="16" t="s">
        <v>87</v>
      </c>
      <c r="R1542" s="17" t="s">
        <v>3624</v>
      </c>
      <c r="S1542" s="11"/>
      <c r="T1542" s="11"/>
      <c r="U1542" s="10" t="str">
        <f>HYPERLINK("https://pbs.twimg.com/profile_images/1052987699118960641/3w28yp19.jpg","View")</f>
        <v>View</v>
      </c>
    </row>
    <row r="1543" spans="1:21" ht="30.6">
      <c r="A1543" s="6">
        <v>43425.544062500005</v>
      </c>
      <c r="B1543" s="7" t="str">
        <f>HYPERLINK("https://twitter.com/Lunayog","@Lunayog")</f>
        <v>@Lunayog</v>
      </c>
      <c r="C1543" s="8" t="s">
        <v>3625</v>
      </c>
      <c r="D1543" s="9" t="s">
        <v>3626</v>
      </c>
      <c r="E1543" s="10" t="str">
        <f>HYPERLINK("https://twitter.com/Lunayog/status/1065349997691064320","1065349997691064320")</f>
        <v>1065349997691064320</v>
      </c>
      <c r="F1543" s="11"/>
      <c r="G1543" s="14" t="s">
        <v>3627</v>
      </c>
      <c r="H1543" s="11"/>
      <c r="I1543" s="12">
        <v>0</v>
      </c>
      <c r="J1543" s="12">
        <v>2</v>
      </c>
      <c r="K1543" s="13" t="str">
        <f>HYPERLINK("http://twitter.com/download/android","Twitter for Android")</f>
        <v>Twitter for Android</v>
      </c>
      <c r="L1543" s="12">
        <v>66</v>
      </c>
      <c r="M1543" s="12">
        <v>169</v>
      </c>
      <c r="N1543" s="12">
        <v>1</v>
      </c>
      <c r="O1543" s="15"/>
      <c r="P1543" s="6">
        <v>40641.094293981485</v>
      </c>
      <c r="Q1543" s="11"/>
      <c r="R1543" s="17" t="s">
        <v>3628</v>
      </c>
      <c r="S1543" s="11"/>
      <c r="T1543" s="11"/>
      <c r="U1543" s="10" t="str">
        <f>HYPERLINK("https://pbs.twimg.com/profile_images/668123016652541952/FyLH8pNb.jpg","View")</f>
        <v>View</v>
      </c>
    </row>
    <row r="1544" spans="1:21" ht="40.799999999999997">
      <c r="A1544" s="6">
        <v>43425.542361111111</v>
      </c>
      <c r="B1544" s="7" t="str">
        <f>HYPERLINK("https://twitter.com/bitMomentum","@bitMomentum")</f>
        <v>@bitMomentum</v>
      </c>
      <c r="C1544" s="8" t="s">
        <v>1033</v>
      </c>
      <c r="D1544" s="9" t="s">
        <v>3629</v>
      </c>
      <c r="E1544" s="10" t="str">
        <f>HYPERLINK("https://twitter.com/bitMomentum/status/1065349380402753537","1065349380402753537")</f>
        <v>1065349380402753537</v>
      </c>
      <c r="F1544" s="11"/>
      <c r="G1544" s="11"/>
      <c r="H1544" s="11"/>
      <c r="I1544" s="12">
        <v>0</v>
      </c>
      <c r="J1544" s="12">
        <v>1</v>
      </c>
      <c r="K1544" s="13" t="str">
        <f>HYPERLINK("http://www.bitmomentum.com","bitMomentum Bot")</f>
        <v>bitMomentum Bot</v>
      </c>
      <c r="L1544" s="12">
        <v>10132</v>
      </c>
      <c r="M1544" s="12">
        <v>1060</v>
      </c>
      <c r="N1544" s="12">
        <v>267</v>
      </c>
      <c r="O1544" s="15"/>
      <c r="P1544" s="6">
        <v>41608.292511574073</v>
      </c>
      <c r="Q1544" s="11"/>
      <c r="R1544" s="17" t="s">
        <v>1038</v>
      </c>
      <c r="S1544" s="14" t="s">
        <v>1039</v>
      </c>
      <c r="T1544" s="11"/>
      <c r="U1544" s="10" t="str">
        <f>HYPERLINK("https://pbs.twimg.com/profile_images/378800000862185241/20ij2H3u.png","View")</f>
        <v>View</v>
      </c>
    </row>
    <row r="1545" spans="1:21" ht="30.6">
      <c r="A1545" s="6">
        <v>43425.541863425926</v>
      </c>
      <c r="B1545" s="7" t="str">
        <f>HYPERLINK("https://twitter.com/Davidsanv_","@Davidsanv_")</f>
        <v>@Davidsanv_</v>
      </c>
      <c r="C1545" s="8" t="s">
        <v>3630</v>
      </c>
      <c r="D1545" s="9" t="s">
        <v>3631</v>
      </c>
      <c r="E1545" s="10" t="str">
        <f>HYPERLINK("https://twitter.com/Davidsanv_/status/1065349201280811008","1065349201280811008")</f>
        <v>1065349201280811008</v>
      </c>
      <c r="F1545" s="14" t="s">
        <v>3632</v>
      </c>
      <c r="G1545" s="11"/>
      <c r="H1545" s="11"/>
      <c r="I1545" s="12">
        <v>0</v>
      </c>
      <c r="J1545" s="12">
        <v>0</v>
      </c>
      <c r="K1545" s="13" t="str">
        <f>HYPERLINK("http://twitter.com/download/android","Twitter for Android")</f>
        <v>Twitter for Android</v>
      </c>
      <c r="L1545" s="12">
        <v>440</v>
      </c>
      <c r="M1545" s="12">
        <v>418</v>
      </c>
      <c r="N1545" s="12">
        <v>0</v>
      </c>
      <c r="O1545" s="15"/>
      <c r="P1545" s="6">
        <v>43121.463148148148</v>
      </c>
      <c r="Q1545" s="16" t="s">
        <v>3635</v>
      </c>
      <c r="R1545" s="17" t="s">
        <v>3636</v>
      </c>
      <c r="S1545" s="11"/>
      <c r="T1545" s="11"/>
      <c r="U1545" s="10" t="str">
        <f>HYPERLINK("https://pbs.twimg.com/profile_images/1017040644139778048/Oi66mCF-.jpg","View")</f>
        <v>View</v>
      </c>
    </row>
    <row r="1546" spans="1:21" ht="51">
      <c r="A1546" s="6">
        <v>43425.540914351848</v>
      </c>
      <c r="B1546" s="7" t="str">
        <f>HYPERLINK("https://twitter.com/errehoney","@errehoney")</f>
        <v>@errehoney</v>
      </c>
      <c r="C1546" s="8" t="s">
        <v>6797</v>
      </c>
      <c r="D1546" s="9" t="s">
        <v>6798</v>
      </c>
      <c r="E1546" s="10" t="str">
        <f>HYPERLINK("https://twitter.com/errehoney/status/1065348858153234432","1065348858153234432")</f>
        <v>1065348858153234432</v>
      </c>
      <c r="F1546" s="11"/>
      <c r="G1546" s="11"/>
      <c r="H1546" s="11"/>
      <c r="I1546" s="12">
        <v>0</v>
      </c>
      <c r="J1546" s="12">
        <v>1</v>
      </c>
      <c r="K1546" s="13" t="str">
        <f>HYPERLINK("http://twitter.com","Twitter Web Client")</f>
        <v>Twitter Web Client</v>
      </c>
      <c r="L1546" s="12">
        <v>426</v>
      </c>
      <c r="M1546" s="12">
        <v>617</v>
      </c>
      <c r="N1546" s="12">
        <v>8</v>
      </c>
      <c r="O1546" s="15"/>
      <c r="P1546" s="6">
        <v>42480.322499999995</v>
      </c>
      <c r="Q1546" s="16" t="s">
        <v>6799</v>
      </c>
      <c r="R1546" s="17" t="s">
        <v>6800</v>
      </c>
      <c r="S1546" s="11"/>
      <c r="T1546" s="11"/>
      <c r="U1546" s="10" t="str">
        <f>HYPERLINK("https://pbs.twimg.com/profile_images/1038693429130285056/KacvBsNS.jpg","View")</f>
        <v>View</v>
      </c>
    </row>
    <row r="1547" spans="1:21" ht="40.799999999999997">
      <c r="A1547" s="6">
        <v>43425.536736111113</v>
      </c>
      <c r="B1547" s="7" t="str">
        <f>HYPERLINK("https://twitter.com/Fjnc1Freeman","@Fjnc1Freeman")</f>
        <v>@Fjnc1Freeman</v>
      </c>
      <c r="C1547" s="8" t="s">
        <v>6801</v>
      </c>
      <c r="D1547" s="9" t="s">
        <v>6802</v>
      </c>
      <c r="E1547" s="10" t="str">
        <f>HYPERLINK("https://twitter.com/Fjnc1Freeman/status/1065347341706821632","1065347341706821632")</f>
        <v>1065347341706821632</v>
      </c>
      <c r="F1547" s="14" t="s">
        <v>6174</v>
      </c>
      <c r="G1547" s="11"/>
      <c r="H1547" s="11"/>
      <c r="I1547" s="12">
        <v>0</v>
      </c>
      <c r="J1547" s="12">
        <v>0</v>
      </c>
      <c r="K1547" s="13" t="str">
        <f>HYPERLINK("http://twitter.com/download/iphone","Twitter for iPhone")</f>
        <v>Twitter for iPhone</v>
      </c>
      <c r="L1547" s="12">
        <v>620</v>
      </c>
      <c r="M1547" s="12">
        <v>587</v>
      </c>
      <c r="N1547" s="12">
        <v>20</v>
      </c>
      <c r="O1547" s="15"/>
      <c r="P1547" s="6">
        <v>41591.451782407406</v>
      </c>
      <c r="Q1547" s="16" t="s">
        <v>6803</v>
      </c>
      <c r="R1547" s="17" t="s">
        <v>6804</v>
      </c>
      <c r="S1547" s="11"/>
      <c r="T1547" s="11"/>
      <c r="U1547" s="10" t="str">
        <f>HYPERLINK("https://pbs.twimg.com/profile_images/761992327770542080/1lAxa4E9.jpg","View")</f>
        <v>View</v>
      </c>
    </row>
    <row r="1548" spans="1:21" ht="51">
      <c r="A1548" s="6">
        <v>43425.53506944445</v>
      </c>
      <c r="B1548" s="7" t="str">
        <f>HYPERLINK("https://twitter.com/antonovas","@antonovas")</f>
        <v>@antonovas</v>
      </c>
      <c r="C1548" s="8" t="s">
        <v>897</v>
      </c>
      <c r="D1548" s="9" t="s">
        <v>3639</v>
      </c>
      <c r="E1548" s="10" t="str">
        <f>HYPERLINK("https://twitter.com/antonovas/status/1065346740096765952","1065346740096765952")</f>
        <v>1065346740096765952</v>
      </c>
      <c r="F1548" s="14" t="s">
        <v>3641</v>
      </c>
      <c r="G1548" s="11"/>
      <c r="H1548" s="11"/>
      <c r="I1548" s="12">
        <v>0</v>
      </c>
      <c r="J1548" s="12">
        <v>0</v>
      </c>
      <c r="K1548" s="13" t="str">
        <f>HYPERLINK("http://twitter.com/#!/download/ipad","Twitter for iPad")</f>
        <v>Twitter for iPad</v>
      </c>
      <c r="L1548" s="12">
        <v>3931</v>
      </c>
      <c r="M1548" s="12">
        <v>3218</v>
      </c>
      <c r="N1548" s="12">
        <v>124</v>
      </c>
      <c r="O1548" s="15"/>
      <c r="P1548" s="6">
        <v>40032.396886574075</v>
      </c>
      <c r="Q1548" s="16" t="s">
        <v>903</v>
      </c>
      <c r="R1548" s="17" t="s">
        <v>904</v>
      </c>
      <c r="S1548" s="14" t="s">
        <v>905</v>
      </c>
      <c r="T1548" s="11"/>
      <c r="U1548" s="10" t="str">
        <f>HYPERLINK("https://pbs.twimg.com/profile_images/1035268788634173446/caBYhraI.jpg","View")</f>
        <v>View</v>
      </c>
    </row>
    <row r="1549" spans="1:21" ht="20.399999999999999">
      <c r="A1549" s="6">
        <v>43425.534675925926</v>
      </c>
      <c r="B1549" s="7" t="str">
        <f>HYPERLINK("https://twitter.com/KaotikaLaura","@KaotikaLaura")</f>
        <v>@KaotikaLaura</v>
      </c>
      <c r="C1549" s="8" t="s">
        <v>4331</v>
      </c>
      <c r="D1549" s="9" t="s">
        <v>6805</v>
      </c>
      <c r="E1549" s="10" t="str">
        <f>HYPERLINK("https://twitter.com/KaotikaLaura/status/1065346596794245120","1065346596794245120")</f>
        <v>1065346596794245120</v>
      </c>
      <c r="F1549" s="11"/>
      <c r="G1549" s="14" t="s">
        <v>6806</v>
      </c>
      <c r="H1549" s="11"/>
      <c r="I1549" s="12">
        <v>0</v>
      </c>
      <c r="J1549" s="12">
        <v>1</v>
      </c>
      <c r="K1549" s="13" t="str">
        <f t="shared" ref="K1549:K1550" si="323">HYPERLINK("http://twitter.com/download/iphone","Twitter for iPhone")</f>
        <v>Twitter for iPhone</v>
      </c>
      <c r="L1549" s="12">
        <v>738</v>
      </c>
      <c r="M1549" s="12">
        <v>982</v>
      </c>
      <c r="N1549" s="12">
        <v>10</v>
      </c>
      <c r="O1549" s="15"/>
      <c r="P1549" s="6">
        <v>39920.597430555557</v>
      </c>
      <c r="Q1549" s="16" t="s">
        <v>6807</v>
      </c>
      <c r="R1549" s="17" t="s">
        <v>6808</v>
      </c>
      <c r="S1549" s="11"/>
      <c r="T1549" s="11"/>
      <c r="U1549" s="10" t="str">
        <f>HYPERLINK("https://pbs.twimg.com/profile_images/818421849679917056/fAvN8jVC.jpg","View")</f>
        <v>View</v>
      </c>
    </row>
    <row r="1550" spans="1:21" ht="102">
      <c r="A1550" s="6">
        <v>43425.533553240741</v>
      </c>
      <c r="B1550" s="7" t="str">
        <f>HYPERLINK("https://twitter.com/LuisAlbGomez","@LuisAlbGomez")</f>
        <v>@LuisAlbGomez</v>
      </c>
      <c r="C1550" s="8" t="s">
        <v>6809</v>
      </c>
      <c r="D1550" s="9" t="s">
        <v>6810</v>
      </c>
      <c r="E1550" s="10" t="str">
        <f>HYPERLINK("https://twitter.com/LuisAlbGomez/status/1065346191515357185","1065346191515357185")</f>
        <v>1065346191515357185</v>
      </c>
      <c r="F1550" s="14" t="s">
        <v>3749</v>
      </c>
      <c r="G1550" s="14" t="s">
        <v>3750</v>
      </c>
      <c r="H1550" s="11"/>
      <c r="I1550" s="12">
        <v>0</v>
      </c>
      <c r="J1550" s="12">
        <v>1</v>
      </c>
      <c r="K1550" s="13" t="str">
        <f t="shared" si="323"/>
        <v>Twitter for iPhone</v>
      </c>
      <c r="L1550" s="12">
        <v>132</v>
      </c>
      <c r="M1550" s="12">
        <v>80</v>
      </c>
      <c r="N1550" s="12">
        <v>6</v>
      </c>
      <c r="O1550" s="15"/>
      <c r="P1550" s="6">
        <v>40784.337476851855</v>
      </c>
      <c r="Q1550" s="11"/>
      <c r="R1550" s="17" t="s">
        <v>6811</v>
      </c>
      <c r="S1550" s="11"/>
      <c r="T1550" s="11"/>
      <c r="U1550" s="10" t="str">
        <f>HYPERLINK("https://pbs.twimg.com/profile_images/665303911960571905/El_vz83G.jpg","View")</f>
        <v>View</v>
      </c>
    </row>
    <row r="1551" spans="1:21" ht="51">
      <c r="A1551" s="6">
        <v>43425.528935185182</v>
      </c>
      <c r="B1551" s="7" t="str">
        <f>HYPERLINK("https://twitter.com/Guardaespalda10","@Guardaespalda10")</f>
        <v>@Guardaespalda10</v>
      </c>
      <c r="C1551" s="8" t="s">
        <v>3642</v>
      </c>
      <c r="D1551" s="9" t="s">
        <v>3643</v>
      </c>
      <c r="E1551" s="10" t="str">
        <f>HYPERLINK("https://twitter.com/Guardaespalda10/status/1065344517283463169","1065344517283463169")</f>
        <v>1065344517283463169</v>
      </c>
      <c r="F1551" s="16" t="s">
        <v>3644</v>
      </c>
      <c r="G1551" s="11"/>
      <c r="H1551" s="11"/>
      <c r="I1551" s="12">
        <v>0</v>
      </c>
      <c r="J1551" s="12">
        <v>0</v>
      </c>
      <c r="K1551" s="13" t="str">
        <f>HYPERLINK("http://twitter.com/download/android","Twitter for Android")</f>
        <v>Twitter for Android</v>
      </c>
      <c r="L1551" s="12">
        <v>138</v>
      </c>
      <c r="M1551" s="12">
        <v>118</v>
      </c>
      <c r="N1551" s="12">
        <v>1</v>
      </c>
      <c r="O1551" s="15"/>
      <c r="P1551" s="6">
        <v>42422.007002314815</v>
      </c>
      <c r="Q1551" s="11"/>
      <c r="R1551" s="17" t="s">
        <v>3645</v>
      </c>
      <c r="S1551" s="11"/>
      <c r="T1551" s="11"/>
      <c r="U1551" s="10" t="str">
        <f>HYPERLINK("https://pbs.twimg.com/profile_images/747429382311002116/JJfoMqW1.jpg","View")</f>
        <v>View</v>
      </c>
    </row>
    <row r="1552" spans="1:21" ht="20.399999999999999">
      <c r="A1552" s="6">
        <v>43425.528726851851</v>
      </c>
      <c r="B1552" s="7" t="str">
        <f>HYPERLINK("https://twitter.com/MjgpAzucena","@MjgpAzucena")</f>
        <v>@MjgpAzucena</v>
      </c>
      <c r="C1552" s="8" t="s">
        <v>6812</v>
      </c>
      <c r="D1552" s="9" t="s">
        <v>6813</v>
      </c>
      <c r="E1552" s="10" t="str">
        <f>HYPERLINK("https://twitter.com/MjgpAzucena/status/1065344441509126144","1065344441509126144")</f>
        <v>1065344441509126144</v>
      </c>
      <c r="F1552" s="14" t="s">
        <v>6814</v>
      </c>
      <c r="G1552" s="11"/>
      <c r="H1552" s="11"/>
      <c r="I1552" s="12">
        <v>0</v>
      </c>
      <c r="J1552" s="12">
        <v>0</v>
      </c>
      <c r="K1552" s="13" t="str">
        <f>HYPERLINK("http://twitter.com/download/iphone","Twitter for iPhone")</f>
        <v>Twitter for iPhone</v>
      </c>
      <c r="L1552" s="12">
        <v>554</v>
      </c>
      <c r="M1552" s="12">
        <v>716</v>
      </c>
      <c r="N1552" s="12">
        <v>19</v>
      </c>
      <c r="O1552" s="15"/>
      <c r="P1552" s="6">
        <v>41658.529513888891</v>
      </c>
      <c r="Q1552" s="11"/>
      <c r="R1552" s="19"/>
      <c r="S1552" s="11"/>
      <c r="T1552" s="11"/>
      <c r="U1552" s="10" t="str">
        <f>HYPERLINK("https://pbs.twimg.com/profile_images/850791107772510208/eVa4stQI.jpg","View")</f>
        <v>View</v>
      </c>
    </row>
    <row r="1553" spans="1:21" ht="40.799999999999997">
      <c r="A1553" s="6">
        <v>43425.524641203709</v>
      </c>
      <c r="B1553" s="7" t="str">
        <f>HYPERLINK("https://twitter.com/MiercolesRepub1","@MiercolesRepub1")</f>
        <v>@MiercolesRepub1</v>
      </c>
      <c r="C1553" s="8" t="s">
        <v>3646</v>
      </c>
      <c r="D1553" s="9" t="s">
        <v>3647</v>
      </c>
      <c r="E1553" s="10" t="str">
        <f>HYPERLINK("https://twitter.com/MiercolesRepub1/status/1065342961934843905","1065342961934843905")</f>
        <v>1065342961934843905</v>
      </c>
      <c r="F1553" s="11"/>
      <c r="G1553" s="14" t="s">
        <v>3648</v>
      </c>
      <c r="H1553" s="11"/>
      <c r="I1553" s="12">
        <v>16</v>
      </c>
      <c r="J1553" s="12">
        <v>11</v>
      </c>
      <c r="K1553" s="13" t="str">
        <f t="shared" ref="K1553:K1555" si="324">HYPERLINK("http://twitter.com/download/android","Twitter for Android")</f>
        <v>Twitter for Android</v>
      </c>
      <c r="L1553" s="12">
        <v>5512</v>
      </c>
      <c r="M1553" s="12">
        <v>4884</v>
      </c>
      <c r="N1553" s="12">
        <v>13</v>
      </c>
      <c r="O1553" s="15"/>
      <c r="P1553" s="6">
        <v>43304.753692129627</v>
      </c>
      <c r="Q1553" s="11"/>
      <c r="R1553" s="17" t="s">
        <v>3650</v>
      </c>
      <c r="S1553" s="11"/>
      <c r="T1553" s="11"/>
      <c r="U1553" s="10" t="str">
        <f>HYPERLINK("https://pbs.twimg.com/profile_images/1058334817333452801/s9NoMnXL.jpg","View")</f>
        <v>View</v>
      </c>
    </row>
    <row r="1554" spans="1:21" ht="40.799999999999997">
      <c r="A1554" s="6">
        <v>43425.522986111115</v>
      </c>
      <c r="B1554" s="7" t="str">
        <f>HYPERLINK("https://twitter.com/lmunozalonso","@lmunozalonso")</f>
        <v>@lmunozalonso</v>
      </c>
      <c r="C1554" s="8" t="s">
        <v>3651</v>
      </c>
      <c r="D1554" s="9" t="s">
        <v>3652</v>
      </c>
      <c r="E1554" s="10" t="str">
        <f>HYPERLINK("https://twitter.com/lmunozalonso/status/1065342361608302593","1065342361608302593")</f>
        <v>1065342361608302593</v>
      </c>
      <c r="F1554" s="14" t="s">
        <v>3653</v>
      </c>
      <c r="G1554" s="11"/>
      <c r="H1554" s="11"/>
      <c r="I1554" s="12">
        <v>0</v>
      </c>
      <c r="J1554" s="12">
        <v>0</v>
      </c>
      <c r="K1554" s="13" t="str">
        <f t="shared" si="324"/>
        <v>Twitter for Android</v>
      </c>
      <c r="L1554" s="12">
        <v>155</v>
      </c>
      <c r="M1554" s="12">
        <v>475</v>
      </c>
      <c r="N1554" s="12">
        <v>6</v>
      </c>
      <c r="O1554" s="15"/>
      <c r="P1554" s="6">
        <v>41253.091446759259</v>
      </c>
      <c r="Q1554" s="16" t="s">
        <v>87</v>
      </c>
      <c r="R1554" s="17" t="s">
        <v>3656</v>
      </c>
      <c r="S1554" s="16" t="s">
        <v>3657</v>
      </c>
      <c r="T1554" s="11"/>
      <c r="U1554" s="10" t="str">
        <f>HYPERLINK("https://pbs.twimg.com/profile_images/913372806670372864/3_Ey8NlY.jpg","View")</f>
        <v>View</v>
      </c>
    </row>
    <row r="1555" spans="1:21" ht="51">
      <c r="A1555" s="6">
        <v>43425.522673611107</v>
      </c>
      <c r="B1555" s="7" t="str">
        <f>HYPERLINK("https://twitter.com/JoseAGTorres","@JoseAGTorres")</f>
        <v>@JoseAGTorres</v>
      </c>
      <c r="C1555" s="8" t="s">
        <v>6815</v>
      </c>
      <c r="D1555" s="9" t="s">
        <v>6816</v>
      </c>
      <c r="E1555" s="10" t="str">
        <f>HYPERLINK("https://twitter.com/JoseAGTorres/status/1065342249159016451","1065342249159016451")</f>
        <v>1065342249159016451</v>
      </c>
      <c r="F1555" s="11"/>
      <c r="G1555" s="11"/>
      <c r="H1555" s="11"/>
      <c r="I1555" s="12">
        <v>5</v>
      </c>
      <c r="J1555" s="12">
        <v>3</v>
      </c>
      <c r="K1555" s="13" t="str">
        <f t="shared" si="324"/>
        <v>Twitter for Android</v>
      </c>
      <c r="L1555" s="12">
        <v>47</v>
      </c>
      <c r="M1555" s="12">
        <v>132</v>
      </c>
      <c r="N1555" s="12">
        <v>1</v>
      </c>
      <c r="O1555" s="15"/>
      <c r="P1555" s="6">
        <v>43300.393796296295</v>
      </c>
      <c r="Q1555" s="16" t="s">
        <v>93</v>
      </c>
      <c r="R1555" s="17" t="s">
        <v>6817</v>
      </c>
      <c r="S1555" s="11"/>
      <c r="T1555" s="11"/>
      <c r="U1555" s="10" t="str">
        <f>HYPERLINK("https://pbs.twimg.com/profile_images/1019988485967679488/CQ7YG_26.jpg","View")</f>
        <v>View</v>
      </c>
    </row>
    <row r="1556" spans="1:21" ht="102">
      <c r="A1556" s="6">
        <v>43425.521469907406</v>
      </c>
      <c r="B1556" s="7" t="str">
        <f>HYPERLINK("https://twitter.com/villarabogado","@villarabogado")</f>
        <v>@villarabogado</v>
      </c>
      <c r="C1556" s="8" t="s">
        <v>3660</v>
      </c>
      <c r="D1556" s="9" t="s">
        <v>3661</v>
      </c>
      <c r="E1556" s="10" t="str">
        <f>HYPERLINK("https://twitter.com/villarabogado/status/1065341812200677376","1065341812200677376")</f>
        <v>1065341812200677376</v>
      </c>
      <c r="F1556" s="14" t="s">
        <v>3662</v>
      </c>
      <c r="G1556" s="11"/>
      <c r="H1556" s="11"/>
      <c r="I1556" s="12">
        <v>0</v>
      </c>
      <c r="J1556" s="12">
        <v>0</v>
      </c>
      <c r="K1556" s="13" t="str">
        <f>HYPERLINK("https://mobile.twitter.com","Twitter Lite")</f>
        <v>Twitter Lite</v>
      </c>
      <c r="L1556" s="12">
        <v>266</v>
      </c>
      <c r="M1556" s="12">
        <v>198</v>
      </c>
      <c r="N1556" s="12">
        <v>0</v>
      </c>
      <c r="O1556" s="15"/>
      <c r="P1556" s="6">
        <v>41420.624328703707</v>
      </c>
      <c r="Q1556" s="11"/>
      <c r="R1556" s="19"/>
      <c r="S1556" s="11"/>
      <c r="T1556" s="11"/>
      <c r="U1556" s="10" t="str">
        <f>HYPERLINK("https://pbs.twimg.com/profile_images/924357030936240128/-jmk80PB.jpg","View")</f>
        <v>View</v>
      </c>
    </row>
    <row r="1557" spans="1:21" ht="61.2">
      <c r="A1557" s="6">
        <v>43425.520370370374</v>
      </c>
      <c r="B1557" s="7" t="str">
        <f>HYPERLINK("https://twitter.com/IgnacioSR3","@IgnacioSR3")</f>
        <v>@IgnacioSR3</v>
      </c>
      <c r="C1557" s="8" t="s">
        <v>3663</v>
      </c>
      <c r="D1557" s="9" t="s">
        <v>3664</v>
      </c>
      <c r="E1557" s="10" t="str">
        <f>HYPERLINK("https://twitter.com/IgnacioSR3/status/1065341410520518656","1065341410520518656")</f>
        <v>1065341410520518656</v>
      </c>
      <c r="F1557" s="11"/>
      <c r="G1557" s="11"/>
      <c r="H1557" s="11"/>
      <c r="I1557" s="12">
        <v>0</v>
      </c>
      <c r="J1557" s="12">
        <v>1</v>
      </c>
      <c r="K1557" s="13" t="str">
        <f>HYPERLINK("http://twitter.com/download/iphone","Twitter for iPhone")</f>
        <v>Twitter for iPhone</v>
      </c>
      <c r="L1557" s="12">
        <v>11</v>
      </c>
      <c r="M1557" s="12">
        <v>25</v>
      </c>
      <c r="N1557" s="12">
        <v>0</v>
      </c>
      <c r="O1557" s="15"/>
      <c r="P1557" s="6">
        <v>43424.093865740739</v>
      </c>
      <c r="Q1557" s="16" t="s">
        <v>93</v>
      </c>
      <c r="R1557" s="17" t="s">
        <v>3665</v>
      </c>
      <c r="S1557" s="11"/>
      <c r="T1557" s="11"/>
      <c r="U1557" s="10" t="str">
        <f>HYPERLINK("https://pbs.twimg.com/profile_images/1065197352565309440/U599-zhJ.jpg","View")</f>
        <v>View</v>
      </c>
    </row>
    <row r="1558" spans="1:21" ht="51">
      <c r="A1558" s="6">
        <v>43425.520127314812</v>
      </c>
      <c r="B1558" s="7" t="str">
        <f>HYPERLINK("https://twitter.com/josep_turu","@josep_turu")</f>
        <v>@josep_turu</v>
      </c>
      <c r="C1558" s="8" t="s">
        <v>481</v>
      </c>
      <c r="D1558" s="9" t="s">
        <v>3666</v>
      </c>
      <c r="E1558" s="10" t="str">
        <f>HYPERLINK("https://twitter.com/josep_turu/status/1065341324235288577","1065341324235288577")</f>
        <v>1065341324235288577</v>
      </c>
      <c r="F1558" s="11"/>
      <c r="G1558" s="11"/>
      <c r="H1558" s="11"/>
      <c r="I1558" s="12">
        <v>0</v>
      </c>
      <c r="J1558" s="12">
        <v>0</v>
      </c>
      <c r="K1558" s="13" t="str">
        <f t="shared" ref="K1558:K1561" si="325">HYPERLINK("http://twitter.com/download/android","Twitter for Android")</f>
        <v>Twitter for Android</v>
      </c>
      <c r="L1558" s="12">
        <v>254</v>
      </c>
      <c r="M1558" s="12">
        <v>432</v>
      </c>
      <c r="N1558" s="12">
        <v>0</v>
      </c>
      <c r="O1558" s="15"/>
      <c r="P1558" s="6">
        <v>43327.486666666664</v>
      </c>
      <c r="Q1558" s="16" t="s">
        <v>483</v>
      </c>
      <c r="R1558" s="17" t="s">
        <v>484</v>
      </c>
      <c r="S1558" s="14" t="s">
        <v>485</v>
      </c>
      <c r="T1558" s="11"/>
      <c r="U1558" s="10" t="str">
        <f>HYPERLINK("https://pbs.twimg.com/profile_images/1031129221714923520/Svss_bB9.jpg","View")</f>
        <v>View</v>
      </c>
    </row>
    <row r="1559" spans="1:21" ht="61.2">
      <c r="A1559" s="6">
        <v>43425.519652777773</v>
      </c>
      <c r="B1559" s="7" t="str">
        <f>HYPERLINK("https://twitter.com/castillodr_","@castillodr_")</f>
        <v>@castillodr_</v>
      </c>
      <c r="C1559" s="8" t="s">
        <v>6818</v>
      </c>
      <c r="D1559" s="9" t="s">
        <v>6819</v>
      </c>
      <c r="E1559" s="10" t="str">
        <f>HYPERLINK("https://twitter.com/castillodr_/status/1065341150440161287","1065341150440161287")</f>
        <v>1065341150440161287</v>
      </c>
      <c r="F1559" s="16" t="s">
        <v>6820</v>
      </c>
      <c r="G1559" s="11"/>
      <c r="H1559" s="11"/>
      <c r="I1559" s="12">
        <v>0</v>
      </c>
      <c r="J1559" s="12">
        <v>0</v>
      </c>
      <c r="K1559" s="13" t="str">
        <f t="shared" si="325"/>
        <v>Twitter for Android</v>
      </c>
      <c r="L1559" s="12">
        <v>327</v>
      </c>
      <c r="M1559" s="12">
        <v>189</v>
      </c>
      <c r="N1559" s="12">
        <v>2</v>
      </c>
      <c r="O1559" s="15"/>
      <c r="P1559" s="6">
        <v>40295.758761574078</v>
      </c>
      <c r="Q1559" s="16" t="s">
        <v>6821</v>
      </c>
      <c r="R1559" s="17" t="s">
        <v>6822</v>
      </c>
      <c r="S1559" s="11"/>
      <c r="T1559" s="11"/>
      <c r="U1559" s="10" t="str">
        <f>HYPERLINK("https://pbs.twimg.com/profile_images/1057662272447963136/haHf5qDU.jpg","View")</f>
        <v>View</v>
      </c>
    </row>
    <row r="1560" spans="1:21" ht="30.6">
      <c r="A1560" s="6">
        <v>43425.519004629634</v>
      </c>
      <c r="B1560" s="7" t="str">
        <f>HYPERLINK("https://twitter.com/plasticrockets","@plasticrockets")</f>
        <v>@plasticrockets</v>
      </c>
      <c r="C1560" s="8" t="s">
        <v>6823</v>
      </c>
      <c r="D1560" s="9" t="s">
        <v>6824</v>
      </c>
      <c r="E1560" s="10" t="str">
        <f>HYPERLINK("https://twitter.com/plasticrockets/status/1065340916876099584","1065340916876099584")</f>
        <v>1065340916876099584</v>
      </c>
      <c r="F1560" s="11"/>
      <c r="G1560" s="14" t="s">
        <v>6825</v>
      </c>
      <c r="H1560" s="11"/>
      <c r="I1560" s="12">
        <v>0</v>
      </c>
      <c r="J1560" s="12">
        <v>7</v>
      </c>
      <c r="K1560" s="13" t="str">
        <f t="shared" si="325"/>
        <v>Twitter for Android</v>
      </c>
      <c r="L1560" s="12">
        <v>352</v>
      </c>
      <c r="M1560" s="12">
        <v>162</v>
      </c>
      <c r="N1560" s="12">
        <v>4</v>
      </c>
      <c r="O1560" s="15"/>
      <c r="P1560" s="6">
        <v>43213.612314814818</v>
      </c>
      <c r="Q1560" s="16" t="s">
        <v>241</v>
      </c>
      <c r="R1560" s="17" t="s">
        <v>6826</v>
      </c>
      <c r="S1560" s="11"/>
      <c r="T1560" s="11"/>
      <c r="U1560" s="10" t="str">
        <f>HYPERLINK("https://pbs.twimg.com/profile_images/1065769791426719744/e2NfOxYp.jpg","View")</f>
        <v>View</v>
      </c>
    </row>
    <row r="1561" spans="1:21" ht="20.399999999999999">
      <c r="A1561" s="6">
        <v>43425.518761574072</v>
      </c>
      <c r="B1561" s="7" t="str">
        <f>HYPERLINK("https://twitter.com/rickyesteves","@rickyesteves")</f>
        <v>@rickyesteves</v>
      </c>
      <c r="C1561" s="8" t="s">
        <v>6827</v>
      </c>
      <c r="D1561" s="9" t="s">
        <v>6828</v>
      </c>
      <c r="E1561" s="10" t="str">
        <f>HYPERLINK("https://twitter.com/rickyesteves/status/1065340831052308480","1065340831052308480")</f>
        <v>1065340831052308480</v>
      </c>
      <c r="F1561" s="11"/>
      <c r="G1561" s="14" t="s">
        <v>6829</v>
      </c>
      <c r="H1561" s="11"/>
      <c r="I1561" s="12">
        <v>0</v>
      </c>
      <c r="J1561" s="12">
        <v>0</v>
      </c>
      <c r="K1561" s="13" t="str">
        <f t="shared" si="325"/>
        <v>Twitter for Android</v>
      </c>
      <c r="L1561" s="12">
        <v>1716</v>
      </c>
      <c r="M1561" s="12">
        <v>1037</v>
      </c>
      <c r="N1561" s="12">
        <v>42</v>
      </c>
      <c r="O1561" s="15"/>
      <c r="P1561" s="6">
        <v>39293.086076388892</v>
      </c>
      <c r="Q1561" s="16" t="s">
        <v>6830</v>
      </c>
      <c r="R1561" s="17" t="s">
        <v>6831</v>
      </c>
      <c r="S1561" s="14" t="s">
        <v>6832</v>
      </c>
      <c r="T1561" s="11"/>
      <c r="U1561" s="10" t="str">
        <f>HYPERLINK("https://pbs.twimg.com/profile_images/602554227362258944/6ABtqhzG.jpg","View")</f>
        <v>View</v>
      </c>
    </row>
    <row r="1562" spans="1:21" ht="20.399999999999999">
      <c r="A1562" s="6">
        <v>43425.518101851849</v>
      </c>
      <c r="B1562" s="7" t="str">
        <f>HYPERLINK("https://twitter.com/MosaicoMercurio","@MosaicoMercurio")</f>
        <v>@MosaicoMercurio</v>
      </c>
      <c r="C1562" s="8" t="s">
        <v>3600</v>
      </c>
      <c r="D1562" s="9" t="s">
        <v>6833</v>
      </c>
      <c r="E1562" s="10" t="str">
        <f>HYPERLINK("https://twitter.com/MosaicoMercurio/status/1065340588680187905","1065340588680187905")</f>
        <v>1065340588680187905</v>
      </c>
      <c r="F1562" s="14" t="s">
        <v>6834</v>
      </c>
      <c r="G1562" s="11"/>
      <c r="H1562" s="11"/>
      <c r="I1562" s="12">
        <v>0</v>
      </c>
      <c r="J1562" s="12">
        <v>0</v>
      </c>
      <c r="K1562" s="13" t="str">
        <f>HYPERLINK("http://www.facebook.com/twitter","Facebook")</f>
        <v>Facebook</v>
      </c>
      <c r="L1562" s="12">
        <v>1684</v>
      </c>
      <c r="M1562" s="12">
        <v>4995</v>
      </c>
      <c r="N1562" s="12">
        <v>149</v>
      </c>
      <c r="O1562" s="15"/>
      <c r="P1562" s="6">
        <v>40226.418425925927</v>
      </c>
      <c r="Q1562" s="16" t="s">
        <v>38</v>
      </c>
      <c r="R1562" s="20" t="s">
        <v>3605</v>
      </c>
      <c r="S1562" s="14" t="s">
        <v>3606</v>
      </c>
      <c r="T1562" s="11"/>
      <c r="U1562" s="10" t="str">
        <f>HYPERLINK("https://pbs.twimg.com/profile_images/1583700439/LOGO2_cuadrado_422x422_.jpg","View")</f>
        <v>View</v>
      </c>
    </row>
    <row r="1563" spans="1:21" ht="61.2">
      <c r="A1563" s="6">
        <v>43425.51798611111</v>
      </c>
      <c r="B1563" s="7" t="str">
        <f>HYPERLINK("https://twitter.com/Rojillo2018","@Rojillo2018")</f>
        <v>@Rojillo2018</v>
      </c>
      <c r="C1563" s="8" t="s">
        <v>347</v>
      </c>
      <c r="D1563" s="9" t="s">
        <v>3667</v>
      </c>
      <c r="E1563" s="10" t="str">
        <f>HYPERLINK("https://twitter.com/Rojillo2018/status/1065340547747975168","1065340547747975168")</f>
        <v>1065340547747975168</v>
      </c>
      <c r="F1563" s="14" t="s">
        <v>3670</v>
      </c>
      <c r="G1563" s="14" t="s">
        <v>3671</v>
      </c>
      <c r="H1563" s="11"/>
      <c r="I1563" s="12">
        <v>1</v>
      </c>
      <c r="J1563" s="12">
        <v>1</v>
      </c>
      <c r="K1563" s="13" t="str">
        <f t="shared" ref="K1563:K1564" si="326">HYPERLINK("http://twitter.com","Twitter Web Client")</f>
        <v>Twitter Web Client</v>
      </c>
      <c r="L1563" s="12">
        <v>449</v>
      </c>
      <c r="M1563" s="12">
        <v>1034</v>
      </c>
      <c r="N1563" s="12">
        <v>1</v>
      </c>
      <c r="O1563" s="15"/>
      <c r="P1563" s="6">
        <v>43416.25675925926</v>
      </c>
      <c r="Q1563" s="16" t="s">
        <v>352</v>
      </c>
      <c r="R1563" s="17" t="s">
        <v>353</v>
      </c>
      <c r="S1563" s="11"/>
      <c r="T1563" s="11"/>
      <c r="U1563" s="10" t="str">
        <f>HYPERLINK("https://pbs.twimg.com/profile_images/1063905639091642369/tNutwQbh.jpg","View")</f>
        <v>View</v>
      </c>
    </row>
    <row r="1564" spans="1:21" ht="40.799999999999997">
      <c r="A1564" s="6">
        <v>43425.516412037032</v>
      </c>
      <c r="B1564" s="7" t="str">
        <f>HYPERLINK("https://twitter.com/AbaloneOrtega","@AbaloneOrtega")</f>
        <v>@AbaloneOrtega</v>
      </c>
      <c r="C1564" s="8" t="s">
        <v>6835</v>
      </c>
      <c r="D1564" s="9" t="s">
        <v>6836</v>
      </c>
      <c r="E1564" s="10" t="str">
        <f>HYPERLINK("https://twitter.com/AbaloneOrtega/status/1065339978832592899","1065339978832592899")</f>
        <v>1065339978832592899</v>
      </c>
      <c r="F1564" s="11"/>
      <c r="G1564" s="11"/>
      <c r="H1564" s="11"/>
      <c r="I1564" s="12">
        <v>56</v>
      </c>
      <c r="J1564" s="12">
        <v>73</v>
      </c>
      <c r="K1564" s="13" t="str">
        <f t="shared" si="326"/>
        <v>Twitter Web Client</v>
      </c>
      <c r="L1564" s="12">
        <v>4680</v>
      </c>
      <c r="M1564" s="12">
        <v>3694</v>
      </c>
      <c r="N1564" s="12">
        <v>51</v>
      </c>
      <c r="O1564" s="15"/>
      <c r="P1564" s="6">
        <v>41249.511354166665</v>
      </c>
      <c r="Q1564" s="11"/>
      <c r="R1564" s="17" t="s">
        <v>6837</v>
      </c>
      <c r="S1564" s="11"/>
      <c r="T1564" s="11"/>
      <c r="U1564" s="10" t="str">
        <f>HYPERLINK("https://pbs.twimg.com/profile_images/759803574951915524/50ydJhOx.jpg","View")</f>
        <v>View</v>
      </c>
    </row>
    <row r="1565" spans="1:21" ht="40.799999999999997">
      <c r="A1565" s="6">
        <v>43425.51626157407</v>
      </c>
      <c r="B1565" s="7" t="str">
        <f>HYPERLINK("https://twitter.com/whoiscoming_","@whoiscoming_")</f>
        <v>@whoiscoming_</v>
      </c>
      <c r="C1565" s="8" t="s">
        <v>6838</v>
      </c>
      <c r="D1565" s="9" t="s">
        <v>6839</v>
      </c>
      <c r="E1565" s="10" t="str">
        <f>HYPERLINK("https://twitter.com/whoiscoming_/status/1065339923945930752","1065339923945930752")</f>
        <v>1065339923945930752</v>
      </c>
      <c r="F1565" s="11"/>
      <c r="G1565" s="11"/>
      <c r="H1565" s="11"/>
      <c r="I1565" s="12">
        <v>0</v>
      </c>
      <c r="J1565" s="12">
        <v>2</v>
      </c>
      <c r="K1565" s="13" t="str">
        <f>HYPERLINK("http://twitter.com/download/android","Twitter for Android")</f>
        <v>Twitter for Android</v>
      </c>
      <c r="L1565" s="12">
        <v>613</v>
      </c>
      <c r="M1565" s="12">
        <v>396</v>
      </c>
      <c r="N1565" s="12">
        <v>17</v>
      </c>
      <c r="O1565" s="15"/>
      <c r="P1565" s="6">
        <v>42681.73238425926</v>
      </c>
      <c r="Q1565" s="16" t="s">
        <v>6840</v>
      </c>
      <c r="R1565" s="17" t="s">
        <v>6841</v>
      </c>
      <c r="S1565" s="14" t="s">
        <v>6842</v>
      </c>
      <c r="T1565" s="11"/>
      <c r="U1565" s="10" t="str">
        <f>HYPERLINK("https://pbs.twimg.com/profile_images/1064982056659288066/bNWj7pSQ.jpg","View")</f>
        <v>View</v>
      </c>
    </row>
    <row r="1566" spans="1:21" ht="30.6">
      <c r="A1566" s="6">
        <v>43425.514814814815</v>
      </c>
      <c r="B1566" s="7" t="str">
        <f>HYPERLINK("https://twitter.com/Rojillo2018","@Rojillo2018")</f>
        <v>@Rojillo2018</v>
      </c>
      <c r="C1566" s="8" t="s">
        <v>347</v>
      </c>
      <c r="D1566" s="9" t="s">
        <v>3676</v>
      </c>
      <c r="E1566" s="10" t="str">
        <f>HYPERLINK("https://twitter.com/Rojillo2018/status/1065339399632764929","1065339399632764929")</f>
        <v>1065339399632764929</v>
      </c>
      <c r="F1566" s="11"/>
      <c r="G1566" s="14" t="s">
        <v>3677</v>
      </c>
      <c r="H1566" s="11"/>
      <c r="I1566" s="12">
        <v>2</v>
      </c>
      <c r="J1566" s="12">
        <v>4</v>
      </c>
      <c r="K1566" s="13" t="str">
        <f>HYPERLINK("http://twitter.com","Twitter Web Client")</f>
        <v>Twitter Web Client</v>
      </c>
      <c r="L1566" s="12">
        <v>449</v>
      </c>
      <c r="M1566" s="12">
        <v>1034</v>
      </c>
      <c r="N1566" s="12">
        <v>1</v>
      </c>
      <c r="O1566" s="15"/>
      <c r="P1566" s="6">
        <v>43416.25675925926</v>
      </c>
      <c r="Q1566" s="16" t="s">
        <v>352</v>
      </c>
      <c r="R1566" s="17" t="s">
        <v>353</v>
      </c>
      <c r="S1566" s="11"/>
      <c r="T1566" s="11"/>
      <c r="U1566" s="10" t="str">
        <f>HYPERLINK("https://pbs.twimg.com/profile_images/1063905639091642369/tNutwQbh.jpg","View")</f>
        <v>View</v>
      </c>
    </row>
    <row r="1567" spans="1:21" ht="40.799999999999997">
      <c r="A1567" s="6">
        <v>43425.514502314814</v>
      </c>
      <c r="B1567" s="7" t="str">
        <f>HYPERLINK("https://twitter.com/ConsentidoTM","@ConsentidoTM")</f>
        <v>@ConsentidoTM</v>
      </c>
      <c r="C1567" s="8" t="s">
        <v>3678</v>
      </c>
      <c r="D1567" s="9" t="s">
        <v>3679</v>
      </c>
      <c r="E1567" s="10" t="str">
        <f>HYPERLINK("https://twitter.com/ConsentidoTM/status/1065339286751494146","1065339286751494146")</f>
        <v>1065339286751494146</v>
      </c>
      <c r="F1567" s="14" t="s">
        <v>3680</v>
      </c>
      <c r="G1567" s="11"/>
      <c r="H1567" s="11"/>
      <c r="I1567" s="12">
        <v>2</v>
      </c>
      <c r="J1567" s="12">
        <v>2</v>
      </c>
      <c r="K1567" s="13" t="str">
        <f t="shared" ref="K1567:K1569" si="327">HYPERLINK("http://twitter.com/download/android","Twitter for Android")</f>
        <v>Twitter for Android</v>
      </c>
      <c r="L1567" s="12">
        <v>876</v>
      </c>
      <c r="M1567" s="12">
        <v>2503</v>
      </c>
      <c r="N1567" s="12">
        <v>59</v>
      </c>
      <c r="O1567" s="15"/>
      <c r="P1567" s="6">
        <v>41343.033645833333</v>
      </c>
      <c r="Q1567" s="16" t="s">
        <v>3681</v>
      </c>
      <c r="R1567" s="19"/>
      <c r="S1567" s="11"/>
      <c r="T1567" s="11"/>
      <c r="U1567" s="10" t="str">
        <f>HYPERLINK("https://pbs.twimg.com/profile_images/878538011755130880/TABX11x4.jpg","View")</f>
        <v>View</v>
      </c>
    </row>
    <row r="1568" spans="1:21" ht="51">
      <c r="A1568" s="6">
        <v>43425.514444444445</v>
      </c>
      <c r="B1568" s="7" t="str">
        <f>HYPERLINK("https://twitter.com/gonzalocampa","@gonzalocampa")</f>
        <v>@gonzalocampa</v>
      </c>
      <c r="C1568" s="8" t="s">
        <v>3682</v>
      </c>
      <c r="D1568" s="9" t="s">
        <v>3683</v>
      </c>
      <c r="E1568" s="10" t="str">
        <f>HYPERLINK("https://twitter.com/gonzalocampa/status/1065339263200440322","1065339263200440322")</f>
        <v>1065339263200440322</v>
      </c>
      <c r="F1568" s="14" t="s">
        <v>3685</v>
      </c>
      <c r="G1568" s="11"/>
      <c r="H1568" s="11"/>
      <c r="I1568" s="12">
        <v>2</v>
      </c>
      <c r="J1568" s="12">
        <v>4</v>
      </c>
      <c r="K1568" s="13" t="str">
        <f t="shared" si="327"/>
        <v>Twitter for Android</v>
      </c>
      <c r="L1568" s="12">
        <v>311</v>
      </c>
      <c r="M1568" s="12">
        <v>208</v>
      </c>
      <c r="N1568" s="12">
        <v>15</v>
      </c>
      <c r="O1568" s="15"/>
      <c r="P1568" s="6">
        <v>40081.163518518515</v>
      </c>
      <c r="Q1568" s="16" t="s">
        <v>38</v>
      </c>
      <c r="R1568" s="17" t="s">
        <v>3687</v>
      </c>
      <c r="S1568" s="14" t="s">
        <v>3688</v>
      </c>
      <c r="T1568" s="11"/>
      <c r="U1568" s="10" t="str">
        <f>HYPERLINK("https://pbs.twimg.com/profile_images/971699953578991616/VCuYJU-T.jpg","View")</f>
        <v>View</v>
      </c>
    </row>
    <row r="1569" spans="1:21" ht="30.6">
      <c r="A1569" s="6">
        <v>43425.513969907406</v>
      </c>
      <c r="B1569" s="7" t="str">
        <f>HYPERLINK("https://twitter.com/tonete_83","@tonete_83")</f>
        <v>@tonete_83</v>
      </c>
      <c r="C1569" s="8" t="s">
        <v>3689</v>
      </c>
      <c r="D1569" s="9" t="s">
        <v>3690</v>
      </c>
      <c r="E1569" s="10" t="str">
        <f>HYPERLINK("https://twitter.com/tonete_83/status/1065339094782435329","1065339094782435329")</f>
        <v>1065339094782435329</v>
      </c>
      <c r="F1569" s="11"/>
      <c r="G1569" s="11"/>
      <c r="H1569" s="11"/>
      <c r="I1569" s="12">
        <v>0</v>
      </c>
      <c r="J1569" s="12">
        <v>0</v>
      </c>
      <c r="K1569" s="13" t="str">
        <f t="shared" si="327"/>
        <v>Twitter for Android</v>
      </c>
      <c r="L1569" s="12">
        <v>176</v>
      </c>
      <c r="M1569" s="12">
        <v>93</v>
      </c>
      <c r="N1569" s="12">
        <v>1</v>
      </c>
      <c r="O1569" s="15"/>
      <c r="P1569" s="6">
        <v>40181.455057870371</v>
      </c>
      <c r="Q1569" s="16" t="s">
        <v>3691</v>
      </c>
      <c r="R1569" s="17" t="s">
        <v>3692</v>
      </c>
      <c r="S1569" s="11"/>
      <c r="T1569" s="11"/>
      <c r="U1569" s="10" t="str">
        <f>HYPERLINK("https://pbs.twimg.com/profile_images/657283229611855872/oFjVWhRu.jpg","View")</f>
        <v>View</v>
      </c>
    </row>
    <row r="1570" spans="1:21" ht="20.399999999999999">
      <c r="A1570" s="6">
        <v>43425.513749999998</v>
      </c>
      <c r="B1570" s="7" t="str">
        <f>HYPERLINK("https://twitter.com/DustinCrack","@DustinCrack")</f>
        <v>@DustinCrack</v>
      </c>
      <c r="C1570" s="8" t="s">
        <v>6843</v>
      </c>
      <c r="D1570" s="9" t="s">
        <v>6844</v>
      </c>
      <c r="E1570" s="10" t="str">
        <f>HYPERLINK("https://twitter.com/DustinCrack/status/1065339014583123969","1065339014583123969")</f>
        <v>1065339014583123969</v>
      </c>
      <c r="F1570" s="11"/>
      <c r="G1570" s="14" t="s">
        <v>6845</v>
      </c>
      <c r="H1570" s="11"/>
      <c r="I1570" s="12">
        <v>0</v>
      </c>
      <c r="J1570" s="12">
        <v>0</v>
      </c>
      <c r="K1570" s="13" t="str">
        <f>HYPERLINK("http://twitter.com","Twitter Web Client")</f>
        <v>Twitter Web Client</v>
      </c>
      <c r="L1570" s="12">
        <v>236</v>
      </c>
      <c r="M1570" s="12">
        <v>172</v>
      </c>
      <c r="N1570" s="12">
        <v>1</v>
      </c>
      <c r="O1570" s="15"/>
      <c r="P1570" s="6">
        <v>41213.925138888888</v>
      </c>
      <c r="Q1570" s="16" t="s">
        <v>6846</v>
      </c>
      <c r="R1570" s="17" t="s">
        <v>6847</v>
      </c>
      <c r="S1570" s="11"/>
      <c r="T1570" s="11"/>
      <c r="U1570" s="10" t="str">
        <f>HYPERLINK("https://pbs.twimg.com/profile_images/1050801883558875136/NSdg3oK1.jpg","View")</f>
        <v>View</v>
      </c>
    </row>
    <row r="1571" spans="1:21" ht="51">
      <c r="A1571" s="6">
        <v>43425.513472222221</v>
      </c>
      <c r="B1571" s="7" t="str">
        <f>HYPERLINK("https://twitter.com/AsturRosa","@AsturRosa")</f>
        <v>@AsturRosa</v>
      </c>
      <c r="C1571" s="8" t="s">
        <v>6848</v>
      </c>
      <c r="D1571" s="9" t="s">
        <v>6849</v>
      </c>
      <c r="E1571" s="10" t="str">
        <f>HYPERLINK("https://twitter.com/AsturRosa/status/1065338912254636032","1065338912254636032")</f>
        <v>1065338912254636032</v>
      </c>
      <c r="F1571" s="11"/>
      <c r="G1571" s="11"/>
      <c r="H1571" s="11"/>
      <c r="I1571" s="12">
        <v>17</v>
      </c>
      <c r="J1571" s="12">
        <v>96</v>
      </c>
      <c r="K1571" s="13" t="str">
        <f>HYPERLINK("http://twitter.com/download/iphone","Twitter for iPhone")</f>
        <v>Twitter for iPhone</v>
      </c>
      <c r="L1571" s="12">
        <v>31795</v>
      </c>
      <c r="M1571" s="12">
        <v>387</v>
      </c>
      <c r="N1571" s="12">
        <v>279</v>
      </c>
      <c r="O1571" s="15"/>
      <c r="P1571" s="6">
        <v>40709.26363425926</v>
      </c>
      <c r="Q1571" s="11"/>
      <c r="R1571" s="17" t="s">
        <v>6850</v>
      </c>
      <c r="S1571" s="14" t="s">
        <v>6851</v>
      </c>
      <c r="T1571" s="11"/>
      <c r="U1571" s="10" t="str">
        <f>HYPERLINK("https://pbs.twimg.com/profile_images/1058451112112652289/JR__pg6e.jpg","View")</f>
        <v>View</v>
      </c>
    </row>
    <row r="1572" spans="1:21" ht="51">
      <c r="A1572" s="6">
        <v>43425.513009259259</v>
      </c>
      <c r="B1572" s="7" t="str">
        <f>HYPERLINK("https://twitter.com/tonete_83","@tonete_83")</f>
        <v>@tonete_83</v>
      </c>
      <c r="C1572" s="8" t="s">
        <v>3689</v>
      </c>
      <c r="D1572" s="9" t="s">
        <v>3693</v>
      </c>
      <c r="E1572" s="10" t="str">
        <f>HYPERLINK("https://twitter.com/tonete_83/status/1065338746286022657","1065338746286022657")</f>
        <v>1065338746286022657</v>
      </c>
      <c r="F1572" s="11"/>
      <c r="G1572" s="11"/>
      <c r="H1572" s="11"/>
      <c r="I1572" s="12">
        <v>0</v>
      </c>
      <c r="J1572" s="12">
        <v>1</v>
      </c>
      <c r="K1572" s="13" t="str">
        <f>HYPERLINK("http://twitter.com/download/android","Twitter for Android")</f>
        <v>Twitter for Android</v>
      </c>
      <c r="L1572" s="12">
        <v>176</v>
      </c>
      <c r="M1572" s="12">
        <v>93</v>
      </c>
      <c r="N1572" s="12">
        <v>1</v>
      </c>
      <c r="O1572" s="15"/>
      <c r="P1572" s="6">
        <v>40181.455057870371</v>
      </c>
      <c r="Q1572" s="16" t="s">
        <v>3691</v>
      </c>
      <c r="R1572" s="17" t="s">
        <v>3692</v>
      </c>
      <c r="S1572" s="11"/>
      <c r="T1572" s="11"/>
      <c r="U1572" s="10" t="str">
        <f>HYPERLINK("https://pbs.twimg.com/profile_images/657283229611855872/oFjVWhRu.jpg","View")</f>
        <v>View</v>
      </c>
    </row>
    <row r="1573" spans="1:21" ht="40.799999999999997">
      <c r="A1573" s="6">
        <v>43425.511261574073</v>
      </c>
      <c r="B1573" s="7" t="str">
        <f t="shared" ref="B1573:B1574" si="328">HYPERLINK("https://twitter.com/Cambio16","@Cambio16")</f>
        <v>@Cambio16</v>
      </c>
      <c r="C1573" s="8" t="s">
        <v>1563</v>
      </c>
      <c r="D1573" s="9" t="s">
        <v>3698</v>
      </c>
      <c r="E1573" s="10" t="str">
        <f>HYPERLINK("https://twitter.com/Cambio16/status/1065338109871775746","1065338109871775746")</f>
        <v>1065338109871775746</v>
      </c>
      <c r="F1573" s="11"/>
      <c r="G1573" s="14" t="s">
        <v>3332</v>
      </c>
      <c r="H1573" s="11"/>
      <c r="I1573" s="12">
        <v>0</v>
      </c>
      <c r="J1573" s="12">
        <v>0</v>
      </c>
      <c r="K1573" s="13" t="str">
        <f t="shared" ref="K1573:K1574" si="329">HYPERLINK("http://twitter.com","Twitter Web Client")</f>
        <v>Twitter Web Client</v>
      </c>
      <c r="L1573" s="12">
        <v>17345</v>
      </c>
      <c r="M1573" s="12">
        <v>765</v>
      </c>
      <c r="N1573" s="12">
        <v>499</v>
      </c>
      <c r="O1573" s="15"/>
      <c r="P1573" s="6">
        <v>40341.117245370369</v>
      </c>
      <c r="Q1573" s="16" t="s">
        <v>93</v>
      </c>
      <c r="R1573" s="17" t="s">
        <v>1570</v>
      </c>
      <c r="S1573" s="14" t="s">
        <v>1571</v>
      </c>
      <c r="T1573" s="11"/>
      <c r="U1573" s="10" t="str">
        <f t="shared" ref="U1573:U1574" si="330">HYPERLINK("https://pbs.twimg.com/profile_images/1060221846208069632/vJfJ3_T5.jpg","View")</f>
        <v>View</v>
      </c>
    </row>
    <row r="1574" spans="1:21" ht="40.799999999999997">
      <c r="A1574" s="6">
        <v>43425.510370370372</v>
      </c>
      <c r="B1574" s="7" t="str">
        <f t="shared" si="328"/>
        <v>@Cambio16</v>
      </c>
      <c r="C1574" s="8" t="s">
        <v>1563</v>
      </c>
      <c r="D1574" s="9" t="s">
        <v>6852</v>
      </c>
      <c r="E1574" s="10" t="str">
        <f>HYPERLINK("https://twitter.com/Cambio16/status/1065337787338104833","1065337787338104833")</f>
        <v>1065337787338104833</v>
      </c>
      <c r="F1574" s="11"/>
      <c r="G1574" s="14" t="s">
        <v>6853</v>
      </c>
      <c r="H1574" s="11"/>
      <c r="I1574" s="12">
        <v>0</v>
      </c>
      <c r="J1574" s="12">
        <v>0</v>
      </c>
      <c r="K1574" s="13" t="str">
        <f t="shared" si="329"/>
        <v>Twitter Web Client</v>
      </c>
      <c r="L1574" s="12">
        <v>17345</v>
      </c>
      <c r="M1574" s="12">
        <v>765</v>
      </c>
      <c r="N1574" s="12">
        <v>499</v>
      </c>
      <c r="O1574" s="15"/>
      <c r="P1574" s="6">
        <v>40341.117245370369</v>
      </c>
      <c r="Q1574" s="16" t="s">
        <v>93</v>
      </c>
      <c r="R1574" s="17" t="s">
        <v>1570</v>
      </c>
      <c r="S1574" s="14" t="s">
        <v>1571</v>
      </c>
      <c r="T1574" s="11"/>
      <c r="U1574" s="10" t="str">
        <f t="shared" si="330"/>
        <v>View</v>
      </c>
    </row>
    <row r="1575" spans="1:21" ht="13.2">
      <c r="A1575" s="6">
        <v>43425.504328703704</v>
      </c>
      <c r="B1575" s="7" t="str">
        <f>HYPERLINK("https://twitter.com/mparker606","@mparker606")</f>
        <v>@mparker606</v>
      </c>
      <c r="C1575" s="8" t="s">
        <v>6854</v>
      </c>
      <c r="D1575" s="9" t="s">
        <v>6855</v>
      </c>
      <c r="E1575" s="10" t="str">
        <f>HYPERLINK("https://twitter.com/mparker606/status/1065335599983411205","1065335599983411205")</f>
        <v>1065335599983411205</v>
      </c>
      <c r="F1575" s="14" t="s">
        <v>1267</v>
      </c>
      <c r="G1575" s="11"/>
      <c r="H1575" s="11"/>
      <c r="I1575" s="12">
        <v>0</v>
      </c>
      <c r="J1575" s="12">
        <v>0</v>
      </c>
      <c r="K1575" s="13" t="str">
        <f>HYPERLINK("http://twitter.com/download/android","Twitter for Android")</f>
        <v>Twitter for Android</v>
      </c>
      <c r="L1575" s="12">
        <v>433</v>
      </c>
      <c r="M1575" s="12">
        <v>714</v>
      </c>
      <c r="N1575" s="12">
        <v>32</v>
      </c>
      <c r="O1575" s="15"/>
      <c r="P1575" s="6">
        <v>40369.396643518521</v>
      </c>
      <c r="Q1575" s="16" t="s">
        <v>6856</v>
      </c>
      <c r="R1575" s="17" t="s">
        <v>6857</v>
      </c>
      <c r="S1575" s="14" t="s">
        <v>6858</v>
      </c>
      <c r="T1575" s="11"/>
      <c r="U1575" s="10" t="str">
        <f>HYPERLINK("https://pbs.twimg.com/profile_images/477006052333199360/KDH_DjiC.jpeg","View")</f>
        <v>View</v>
      </c>
    </row>
    <row r="1576" spans="1:21" ht="61.2">
      <c r="A1576" s="6">
        <v>43425.502928240741</v>
      </c>
      <c r="B1576" s="7" t="str">
        <f>HYPERLINK("https://twitter.com/Sofia02360965","@Sofia02360965")</f>
        <v>@Sofia02360965</v>
      </c>
      <c r="C1576" s="8" t="s">
        <v>6859</v>
      </c>
      <c r="D1576" s="9" t="s">
        <v>6860</v>
      </c>
      <c r="E1576" s="10" t="str">
        <f>HYPERLINK("https://twitter.com/Sofia02360965/status/1065335090115432448","1065335090115432448")</f>
        <v>1065335090115432448</v>
      </c>
      <c r="F1576" s="14" t="s">
        <v>3552</v>
      </c>
      <c r="G1576" s="14" t="s">
        <v>3164</v>
      </c>
      <c r="H1576" s="11"/>
      <c r="I1576" s="12">
        <v>0</v>
      </c>
      <c r="J1576" s="12">
        <v>0</v>
      </c>
      <c r="K1576" s="13" t="str">
        <f>HYPERLINK("http://twitter.com/download/iphone","Twitter for iPhone")</f>
        <v>Twitter for iPhone</v>
      </c>
      <c r="L1576" s="12">
        <v>23</v>
      </c>
      <c r="M1576" s="12">
        <v>145</v>
      </c>
      <c r="N1576" s="12">
        <v>0</v>
      </c>
      <c r="O1576" s="15"/>
      <c r="P1576" s="6">
        <v>43343.934479166666</v>
      </c>
      <c r="Q1576" s="16" t="s">
        <v>6861</v>
      </c>
      <c r="R1576" s="19"/>
      <c r="S1576" s="11"/>
      <c r="T1576" s="11"/>
      <c r="U1576" s="10" t="str">
        <f>HYPERLINK("https://pbs.twimg.com/profile_images/1043809068589240320/rV4Ms6lE.jpg","View")</f>
        <v>View</v>
      </c>
    </row>
    <row r="1577" spans="1:21" ht="40.799999999999997">
      <c r="A1577" s="6">
        <v>43425.502743055556</v>
      </c>
      <c r="B1577" s="7" t="str">
        <f>HYPERLINK("https://twitter.com/Ivankhrul","@Ivankhrul")</f>
        <v>@Ivankhrul</v>
      </c>
      <c r="C1577" s="8" t="s">
        <v>6862</v>
      </c>
      <c r="D1577" s="9" t="s">
        <v>6863</v>
      </c>
      <c r="E1577" s="10" t="str">
        <f>HYPERLINK("https://twitter.com/Ivankhrul/status/1065335025548361728","1065335025548361728")</f>
        <v>1065335025548361728</v>
      </c>
      <c r="F1577" s="14" t="s">
        <v>6864</v>
      </c>
      <c r="G1577" s="14" t="s">
        <v>6865</v>
      </c>
      <c r="H1577" s="11"/>
      <c r="I1577" s="12">
        <v>0</v>
      </c>
      <c r="J1577" s="12">
        <v>0</v>
      </c>
      <c r="K1577" s="13" t="str">
        <f>HYPERLINK("http://twitter.com","Twitter Web Client")</f>
        <v>Twitter Web Client</v>
      </c>
      <c r="L1577" s="12">
        <v>277</v>
      </c>
      <c r="M1577" s="12">
        <v>992</v>
      </c>
      <c r="N1577" s="12">
        <v>10</v>
      </c>
      <c r="O1577" s="15"/>
      <c r="P1577" s="6">
        <v>40960.615879629629</v>
      </c>
      <c r="Q1577" s="16" t="s">
        <v>6866</v>
      </c>
      <c r="R1577" s="17" t="s">
        <v>6867</v>
      </c>
      <c r="S1577" s="14" t="s">
        <v>6868</v>
      </c>
      <c r="T1577" s="11"/>
      <c r="U1577" s="10" t="str">
        <f>HYPERLINK("https://pbs.twimg.com/profile_images/1029805022186483713/X9_mX1Mf.jpg","View")</f>
        <v>View</v>
      </c>
    </row>
    <row r="1578" spans="1:21" ht="20.399999999999999">
      <c r="A1578" s="6">
        <v>43425.501250000001</v>
      </c>
      <c r="B1578" s="7" t="str">
        <f>HYPERLINK("https://twitter.com/LeValeAOtros","@LeValeAOtros")</f>
        <v>@LeValeAOtros</v>
      </c>
      <c r="C1578" s="8" t="s">
        <v>6869</v>
      </c>
      <c r="D1578" s="9" t="s">
        <v>6870</v>
      </c>
      <c r="E1578" s="10" t="str">
        <f>HYPERLINK("https://twitter.com/LeValeAOtros/status/1065334483635904512","1065334483635904512")</f>
        <v>1065334483635904512</v>
      </c>
      <c r="F1578" s="11"/>
      <c r="G1578" s="11"/>
      <c r="H1578" s="11"/>
      <c r="I1578" s="12">
        <v>0</v>
      </c>
      <c r="J1578" s="12">
        <v>5</v>
      </c>
      <c r="K1578" s="13" t="str">
        <f>HYPERLINK("http://twitter.com/download/iphone","Twitter for iPhone")</f>
        <v>Twitter for iPhone</v>
      </c>
      <c r="L1578" s="12">
        <v>537</v>
      </c>
      <c r="M1578" s="12">
        <v>74</v>
      </c>
      <c r="N1578" s="12">
        <v>7</v>
      </c>
      <c r="O1578" s="15"/>
      <c r="P1578" s="6">
        <v>43085.626562500001</v>
      </c>
      <c r="Q1578" s="11"/>
      <c r="R1578" s="17" t="s">
        <v>6871</v>
      </c>
      <c r="S1578" s="11"/>
      <c r="T1578" s="11"/>
      <c r="U1578" s="10" t="str">
        <f>HYPERLINK("https://pbs.twimg.com/profile_images/1062040599581343744/TD51IEUI.jpg","View")</f>
        <v>View</v>
      </c>
    </row>
    <row r="1579" spans="1:21" ht="51">
      <c r="A1579" s="6">
        <v>43425.500428240739</v>
      </c>
      <c r="B1579" s="7" t="str">
        <f>HYPERLINK("https://twitter.com/SanderLadetu","@SanderLadetu")</f>
        <v>@SanderLadetu</v>
      </c>
      <c r="C1579" s="8" t="s">
        <v>6872</v>
      </c>
      <c r="D1579" s="9" t="s">
        <v>6873</v>
      </c>
      <c r="E1579" s="10" t="str">
        <f>HYPERLINK("https://twitter.com/SanderLadetu/status/1065334186591076352","1065334186591076352")</f>
        <v>1065334186591076352</v>
      </c>
      <c r="F1579" s="11"/>
      <c r="G1579" s="14" t="s">
        <v>6874</v>
      </c>
      <c r="H1579" s="11"/>
      <c r="I1579" s="12">
        <v>0</v>
      </c>
      <c r="J1579" s="12">
        <v>1</v>
      </c>
      <c r="K1579" s="13" t="str">
        <f>HYPERLINK("http://twitter.com/download/android","Twitter for Android")</f>
        <v>Twitter for Android</v>
      </c>
      <c r="L1579" s="12">
        <v>3704</v>
      </c>
      <c r="M1579" s="12">
        <v>2997</v>
      </c>
      <c r="N1579" s="12">
        <v>92</v>
      </c>
      <c r="O1579" s="15"/>
      <c r="P1579" s="6">
        <v>40688.501041666663</v>
      </c>
      <c r="Q1579" s="11"/>
      <c r="R1579" s="17" t="s">
        <v>6875</v>
      </c>
      <c r="S1579" s="11"/>
      <c r="T1579" s="11"/>
      <c r="U1579" s="10" t="str">
        <f>HYPERLINK("https://pbs.twimg.com/profile_images/1028017026856628225/UfETavi6.jpg","View")</f>
        <v>View</v>
      </c>
    </row>
    <row r="1580" spans="1:21" ht="51">
      <c r="A1580" s="6">
        <v>43425.500173611115</v>
      </c>
      <c r="B1580" s="7" t="str">
        <f>HYPERLINK("https://twitter.com/Charmander_ABRA","@Charmander_ABRA")</f>
        <v>@Charmander_ABRA</v>
      </c>
      <c r="C1580" s="8" t="s">
        <v>6438</v>
      </c>
      <c r="D1580" s="9" t="s">
        <v>6876</v>
      </c>
      <c r="E1580" s="10" t="str">
        <f>HYPERLINK("https://twitter.com/Charmander_ABRA/status/1065334093792100355","1065334093792100355")</f>
        <v>1065334093792100355</v>
      </c>
      <c r="F1580" s="11"/>
      <c r="G1580" s="11"/>
      <c r="H1580" s="11"/>
      <c r="I1580" s="12">
        <v>0</v>
      </c>
      <c r="J1580" s="12">
        <v>2</v>
      </c>
      <c r="K1580" s="13" t="str">
        <f>HYPERLINK("http://twitter.com","Twitter Web Client")</f>
        <v>Twitter Web Client</v>
      </c>
      <c r="L1580" s="12">
        <v>1607</v>
      </c>
      <c r="M1580" s="12">
        <v>587</v>
      </c>
      <c r="N1580" s="12">
        <v>54</v>
      </c>
      <c r="O1580" s="15"/>
      <c r="P1580" s="6">
        <v>41601.537442129629</v>
      </c>
      <c r="Q1580" s="16" t="s">
        <v>6877</v>
      </c>
      <c r="R1580" s="17" t="s">
        <v>6878</v>
      </c>
      <c r="S1580" s="14" t="s">
        <v>6879</v>
      </c>
      <c r="T1580" s="11"/>
      <c r="U1580" s="10" t="str">
        <f>HYPERLINK("https://pbs.twimg.com/profile_images/1043591636662521857/Ipxx54SA.jpg","View")</f>
        <v>View</v>
      </c>
    </row>
    <row r="1581" spans="1:21" ht="40.799999999999997">
      <c r="A1581" s="6">
        <v>43425.497789351852</v>
      </c>
      <c r="B1581" s="7" t="str">
        <f>HYPERLINK("https://twitter.com/velardedaoiz","@velardedaoiz")</f>
        <v>@velardedaoiz</v>
      </c>
      <c r="C1581" s="8" t="s">
        <v>3702</v>
      </c>
      <c r="D1581" s="9" t="s">
        <v>3703</v>
      </c>
      <c r="E1581" s="10" t="str">
        <f>HYPERLINK("https://twitter.com/velardedaoiz/status/1065333227483734016","1065333227483734016")</f>
        <v>1065333227483734016</v>
      </c>
      <c r="F1581" s="14" t="s">
        <v>3704</v>
      </c>
      <c r="G1581" s="11"/>
      <c r="H1581" s="11"/>
      <c r="I1581" s="12">
        <v>0</v>
      </c>
      <c r="J1581" s="12">
        <v>4</v>
      </c>
      <c r="K1581" s="13" t="str">
        <f>HYPERLINK("http://twitter.com/download/iphone","Twitter for iPhone")</f>
        <v>Twitter for iPhone</v>
      </c>
      <c r="L1581" s="12">
        <v>9442</v>
      </c>
      <c r="M1581" s="12">
        <v>1435</v>
      </c>
      <c r="N1581" s="12">
        <v>167</v>
      </c>
      <c r="O1581" s="15"/>
      <c r="P1581" s="6">
        <v>40619.203136574077</v>
      </c>
      <c r="Q1581" s="16" t="s">
        <v>3707</v>
      </c>
      <c r="R1581" s="17" t="s">
        <v>3709</v>
      </c>
      <c r="S1581" s="11"/>
      <c r="T1581" s="11"/>
      <c r="U1581" s="10" t="str">
        <f>HYPERLINK("https://pbs.twimg.com/profile_images/949735322556030977/spY1-UGW.jpg","View")</f>
        <v>View</v>
      </c>
    </row>
    <row r="1582" spans="1:21" ht="13.2">
      <c r="A1582" s="6">
        <v>43425.495648148149</v>
      </c>
      <c r="B1582" s="7" t="str">
        <f>HYPERLINK("https://twitter.com/daocal","@daocal")</f>
        <v>@daocal</v>
      </c>
      <c r="C1582" s="8" t="s">
        <v>3406</v>
      </c>
      <c r="D1582" s="9" t="s">
        <v>3710</v>
      </c>
      <c r="E1582" s="10" t="str">
        <f>HYPERLINK("https://twitter.com/daocal/status/1065332452984524800","1065332452984524800")</f>
        <v>1065332452984524800</v>
      </c>
      <c r="F1582" s="11"/>
      <c r="G1582" s="14" t="s">
        <v>3712</v>
      </c>
      <c r="H1582" s="11"/>
      <c r="I1582" s="12">
        <v>0</v>
      </c>
      <c r="J1582" s="12">
        <v>2</v>
      </c>
      <c r="K1582" s="13" t="str">
        <f t="shared" ref="K1582:K1583" si="331">HYPERLINK("http://twitter.com/download/android","Twitter for Android")</f>
        <v>Twitter for Android</v>
      </c>
      <c r="L1582" s="12">
        <v>481</v>
      </c>
      <c r="M1582" s="12">
        <v>471</v>
      </c>
      <c r="N1582" s="12">
        <v>1</v>
      </c>
      <c r="O1582" s="15"/>
      <c r="P1582" s="6">
        <v>41548.596782407403</v>
      </c>
      <c r="Q1582" s="16" t="s">
        <v>3715</v>
      </c>
      <c r="R1582" s="17" t="s">
        <v>3716</v>
      </c>
      <c r="S1582" s="11"/>
      <c r="T1582" s="11"/>
      <c r="U1582" s="10" t="str">
        <f>HYPERLINK("https://pbs.twimg.com/profile_images/1002593450280275968/loz5Rqdw.jpg","View")</f>
        <v>View</v>
      </c>
    </row>
    <row r="1583" spans="1:21" ht="30.6">
      <c r="A1583" s="6">
        <v>43425.494699074072</v>
      </c>
      <c r="B1583" s="7" t="str">
        <f>HYPERLINK("https://twitter.com/Ciudadanadelmu9","@Ciudadanadelmu9")</f>
        <v>@Ciudadanadelmu9</v>
      </c>
      <c r="C1583" s="8" t="s">
        <v>6880</v>
      </c>
      <c r="D1583" s="9" t="s">
        <v>6881</v>
      </c>
      <c r="E1583" s="10" t="str">
        <f>HYPERLINK("https://twitter.com/Ciudadanadelmu9/status/1065332108355358721","1065332108355358721")</f>
        <v>1065332108355358721</v>
      </c>
      <c r="F1583" s="14" t="s">
        <v>6882</v>
      </c>
      <c r="G1583" s="11"/>
      <c r="H1583" s="11"/>
      <c r="I1583" s="12">
        <v>0</v>
      </c>
      <c r="J1583" s="12">
        <v>1</v>
      </c>
      <c r="K1583" s="13" t="str">
        <f t="shared" si="331"/>
        <v>Twitter for Android</v>
      </c>
      <c r="L1583" s="12">
        <v>752</v>
      </c>
      <c r="M1583" s="12">
        <v>1192</v>
      </c>
      <c r="N1583" s="12">
        <v>1</v>
      </c>
      <c r="O1583" s="15"/>
      <c r="P1583" s="6">
        <v>43119.266157407408</v>
      </c>
      <c r="Q1583" s="11"/>
      <c r="R1583" s="17" t="s">
        <v>6883</v>
      </c>
      <c r="S1583" s="11"/>
      <c r="T1583" s="11"/>
      <c r="U1583" s="10" t="str">
        <f>HYPERLINK("https://pbs.twimg.com/profile_images/980564927558635520/s9jUjCcC.jpg","View")</f>
        <v>View</v>
      </c>
    </row>
    <row r="1584" spans="1:21" ht="40.799999999999997">
      <c r="A1584" s="6">
        <v>43425.493703703702</v>
      </c>
      <c r="B1584" s="7" t="str">
        <f>HYPERLINK("https://twitter.com/rodriguezxql","@rodriguezxql")</f>
        <v>@rodriguezxql</v>
      </c>
      <c r="C1584" s="8" t="s">
        <v>6884</v>
      </c>
      <c r="D1584" s="9" t="s">
        <v>6885</v>
      </c>
      <c r="E1584" s="10" t="str">
        <f>HYPERLINK("https://twitter.com/rodriguezxql/status/1065331748303773696","1065331748303773696")</f>
        <v>1065331748303773696</v>
      </c>
      <c r="F1584" s="11"/>
      <c r="G1584" s="14" t="s">
        <v>6886</v>
      </c>
      <c r="H1584" s="11"/>
      <c r="I1584" s="12">
        <v>0</v>
      </c>
      <c r="J1584" s="12">
        <v>2</v>
      </c>
      <c r="K1584" s="13" t="str">
        <f>HYPERLINK("http://twitter.com/download/iphone","Twitter for iPhone")</f>
        <v>Twitter for iPhone</v>
      </c>
      <c r="L1584" s="12">
        <v>511</v>
      </c>
      <c r="M1584" s="12">
        <v>397</v>
      </c>
      <c r="N1584" s="12">
        <v>9</v>
      </c>
      <c r="O1584" s="15"/>
      <c r="P1584" s="6">
        <v>39622.478055555555</v>
      </c>
      <c r="Q1584" s="16" t="s">
        <v>6887</v>
      </c>
      <c r="R1584" s="17" t="s">
        <v>6888</v>
      </c>
      <c r="S1584" s="11"/>
      <c r="T1584" s="11"/>
      <c r="U1584" s="10" t="str">
        <f>HYPERLINK("https://pbs.twimg.com/profile_images/1040986084023435264/EYAIynyP.jpg","View")</f>
        <v>View</v>
      </c>
    </row>
    <row r="1585" spans="1:21" ht="51">
      <c r="A1585" s="6">
        <v>43425.493645833332</v>
      </c>
      <c r="B1585" s="7" t="str">
        <f>HYPERLINK("https://twitter.com/SanderLadetu","@SanderLadetu")</f>
        <v>@SanderLadetu</v>
      </c>
      <c r="C1585" s="8" t="s">
        <v>6872</v>
      </c>
      <c r="D1585" s="9" t="s">
        <v>6873</v>
      </c>
      <c r="E1585" s="10" t="str">
        <f>HYPERLINK("https://twitter.com/SanderLadetu/status/1065331728896745472","1065331728896745472")</f>
        <v>1065331728896745472</v>
      </c>
      <c r="F1585" s="11"/>
      <c r="G1585" s="14" t="s">
        <v>6889</v>
      </c>
      <c r="H1585" s="11"/>
      <c r="I1585" s="12">
        <v>0</v>
      </c>
      <c r="J1585" s="12">
        <v>2</v>
      </c>
      <c r="K1585" s="13" t="str">
        <f>HYPERLINK("http://twitter.com/download/android","Twitter for Android")</f>
        <v>Twitter for Android</v>
      </c>
      <c r="L1585" s="12">
        <v>3704</v>
      </c>
      <c r="M1585" s="12">
        <v>2997</v>
      </c>
      <c r="N1585" s="12">
        <v>92</v>
      </c>
      <c r="O1585" s="15"/>
      <c r="P1585" s="6">
        <v>40688.501041666663</v>
      </c>
      <c r="Q1585" s="11"/>
      <c r="R1585" s="17" t="s">
        <v>6875</v>
      </c>
      <c r="S1585" s="11"/>
      <c r="T1585" s="11"/>
      <c r="U1585" s="10" t="str">
        <f>HYPERLINK("https://pbs.twimg.com/profile_images/1028017026856628225/UfETavi6.jpg","View")</f>
        <v>View</v>
      </c>
    </row>
    <row r="1586" spans="1:21" ht="40.799999999999997">
      <c r="A1586" s="6">
        <v>43425.493067129632</v>
      </c>
      <c r="B1586" s="7" t="str">
        <f>HYPERLINK("https://twitter.com/juanlarzabal","@juanlarzabal")</f>
        <v>@juanlarzabal</v>
      </c>
      <c r="C1586" s="8" t="s">
        <v>3718</v>
      </c>
      <c r="D1586" s="9" t="s">
        <v>3719</v>
      </c>
      <c r="E1586" s="10" t="str">
        <f>HYPERLINK("https://twitter.com/juanlarzabal/status/1065331520234274817","1065331520234274817")</f>
        <v>1065331520234274817</v>
      </c>
      <c r="F1586" s="14" t="s">
        <v>3720</v>
      </c>
      <c r="G1586" s="14" t="s">
        <v>3722</v>
      </c>
      <c r="H1586" s="11"/>
      <c r="I1586" s="12">
        <v>0</v>
      </c>
      <c r="J1586" s="12">
        <v>0</v>
      </c>
      <c r="K1586" s="13" t="str">
        <f>HYPERLINK("http://twitter.com","Twitter Web Client")</f>
        <v>Twitter Web Client</v>
      </c>
      <c r="L1586" s="12">
        <v>9333</v>
      </c>
      <c r="M1586" s="12">
        <v>2289</v>
      </c>
      <c r="N1586" s="12">
        <v>644</v>
      </c>
      <c r="O1586" s="18" t="s">
        <v>52</v>
      </c>
      <c r="P1586" s="6">
        <v>39314.155046296299</v>
      </c>
      <c r="Q1586" s="16" t="s">
        <v>3724</v>
      </c>
      <c r="R1586" s="17" t="s">
        <v>3725</v>
      </c>
      <c r="S1586" s="14" t="s">
        <v>3726</v>
      </c>
      <c r="T1586" s="11"/>
      <c r="U1586" s="10" t="str">
        <f>HYPERLINK("https://pbs.twimg.com/profile_images/714850318450835457/RUw_Cy9H.jpg","View")</f>
        <v>View</v>
      </c>
    </row>
    <row r="1587" spans="1:21" ht="51">
      <c r="A1587" s="6">
        <v>43425.492164351846</v>
      </c>
      <c r="B1587" s="7" t="str">
        <f>HYPERLINK("https://twitter.com/jaimeberenguer","@jaimeberenguer")</f>
        <v>@jaimeberenguer</v>
      </c>
      <c r="C1587" s="8" t="s">
        <v>3728</v>
      </c>
      <c r="D1587" s="9" t="s">
        <v>3729</v>
      </c>
      <c r="E1587" s="10" t="str">
        <f>HYPERLINK("https://twitter.com/jaimeberenguer/status/1065331190742294528","1065331190742294528")</f>
        <v>1065331190742294528</v>
      </c>
      <c r="F1587" s="14" t="s">
        <v>3730</v>
      </c>
      <c r="G1587" s="11"/>
      <c r="H1587" s="11"/>
      <c r="I1587" s="12">
        <v>1</v>
      </c>
      <c r="J1587" s="12">
        <v>3</v>
      </c>
      <c r="K1587" s="13" t="str">
        <f>HYPERLINK("http://twitter.com/download/iphone","Twitter for iPhone")</f>
        <v>Twitter for iPhone</v>
      </c>
      <c r="L1587" s="12">
        <v>14483</v>
      </c>
      <c r="M1587" s="12">
        <v>2710</v>
      </c>
      <c r="N1587" s="12">
        <v>209</v>
      </c>
      <c r="O1587" s="15"/>
      <c r="P1587" s="6">
        <v>40040.049120370371</v>
      </c>
      <c r="Q1587" s="11"/>
      <c r="R1587" s="17" t="s">
        <v>3731</v>
      </c>
      <c r="S1587" s="11"/>
      <c r="T1587" s="11"/>
      <c r="U1587" s="10" t="str">
        <f>HYPERLINK("https://pbs.twimg.com/profile_images/1048222448372604936/LV72DRWb.jpg","View")</f>
        <v>View</v>
      </c>
    </row>
    <row r="1588" spans="1:21" ht="30.6">
      <c r="A1588" s="6">
        <v>43425.491006944445</v>
      </c>
      <c r="B1588" s="7" t="str">
        <f>HYPERLINK("https://twitter.com/PBMarbeMalaga","@PBMarbeMalaga")</f>
        <v>@PBMarbeMalaga</v>
      </c>
      <c r="C1588" s="8" t="s">
        <v>3898</v>
      </c>
      <c r="D1588" s="9" t="s">
        <v>6891</v>
      </c>
      <c r="E1588" s="10" t="str">
        <f>HYPERLINK("https://twitter.com/PBMarbeMalaga/status/1065330773564248065","1065330773564248065")</f>
        <v>1065330773564248065</v>
      </c>
      <c r="F1588" s="14" t="s">
        <v>6892</v>
      </c>
      <c r="G1588" s="11"/>
      <c r="H1588" s="11"/>
      <c r="I1588" s="12">
        <v>0</v>
      </c>
      <c r="J1588" s="12">
        <v>0</v>
      </c>
      <c r="K1588" s="13" t="str">
        <f>HYPERLINK("https://javitang.ddns.net","PBMarbeMalaga")</f>
        <v>PBMarbeMalaga</v>
      </c>
      <c r="L1588" s="12">
        <v>1222</v>
      </c>
      <c r="M1588" s="12">
        <v>1245</v>
      </c>
      <c r="N1588" s="12">
        <v>2</v>
      </c>
      <c r="O1588" s="15"/>
      <c r="P1588" s="6">
        <v>43149.439074074078</v>
      </c>
      <c r="Q1588" s="16" t="s">
        <v>3899</v>
      </c>
      <c r="R1588" s="17" t="s">
        <v>3900</v>
      </c>
      <c r="S1588" s="11"/>
      <c r="T1588" s="11"/>
      <c r="U1588" s="10" t="str">
        <f>HYPERLINK("https://pbs.twimg.com/profile_images/965296691145531392/sAFnfUu2.jpg","View")</f>
        <v>View</v>
      </c>
    </row>
    <row r="1589" spans="1:21" ht="20.399999999999999">
      <c r="A1589" s="6">
        <v>43425.48883101852</v>
      </c>
      <c r="B1589" s="7" t="str">
        <f>HYPERLINK("https://twitter.com/jpasalf","@jpasalf")</f>
        <v>@jpasalf</v>
      </c>
      <c r="C1589" s="8" t="s">
        <v>6893</v>
      </c>
      <c r="D1589" s="9" t="s">
        <v>6894</v>
      </c>
      <c r="E1589" s="10" t="str">
        <f>HYPERLINK("https://twitter.com/jpasalf/status/1065329982501806080","1065329982501806080")</f>
        <v>1065329982501806080</v>
      </c>
      <c r="F1589" s="14" t="s">
        <v>1751</v>
      </c>
      <c r="G1589" s="11"/>
      <c r="H1589" s="11"/>
      <c r="I1589" s="12">
        <v>0</v>
      </c>
      <c r="J1589" s="12">
        <v>0</v>
      </c>
      <c r="K1589" s="13" t="str">
        <f>HYPERLINK("http://www.facebook.com/twitter","Facebook")</f>
        <v>Facebook</v>
      </c>
      <c r="L1589" s="12">
        <v>1431</v>
      </c>
      <c r="M1589" s="12">
        <v>2079</v>
      </c>
      <c r="N1589" s="12">
        <v>14</v>
      </c>
      <c r="O1589" s="15"/>
      <c r="P1589" s="6">
        <v>40629.663923611108</v>
      </c>
      <c r="Q1589" s="16" t="s">
        <v>6895</v>
      </c>
      <c r="R1589" s="17" t="s">
        <v>6896</v>
      </c>
      <c r="S1589" s="14" t="s">
        <v>6897</v>
      </c>
      <c r="T1589" s="11"/>
      <c r="U1589" s="10" t="str">
        <f>HYPERLINK("https://pbs.twimg.com/profile_images/502732647123402753/wTDaVBiu.jpeg","View")</f>
        <v>View</v>
      </c>
    </row>
    <row r="1590" spans="1:21" ht="51">
      <c r="A1590" s="6">
        <v>43425.487407407403</v>
      </c>
      <c r="B1590" s="7" t="str">
        <f>HYPERLINK("https://twitter.com/Pablo_Iglesias_","@Pablo_Iglesias_")</f>
        <v>@Pablo_Iglesias_</v>
      </c>
      <c r="C1590" s="8" t="s">
        <v>383</v>
      </c>
      <c r="D1590" s="9" t="s">
        <v>6898</v>
      </c>
      <c r="E1590" s="10" t="str">
        <f>HYPERLINK("https://twitter.com/Pablo_Iglesias_/status/1065329468481445889","1065329468481445889")</f>
        <v>1065329468481445889</v>
      </c>
      <c r="F1590" s="11"/>
      <c r="G1590" s="14" t="s">
        <v>6899</v>
      </c>
      <c r="H1590" s="11"/>
      <c r="I1590" s="12">
        <v>321</v>
      </c>
      <c r="J1590" s="12">
        <v>465</v>
      </c>
      <c r="K1590" s="13" t="str">
        <f t="shared" ref="K1590:K1591" si="332">HYPERLINK("http://twitter.com","Twitter Web Client")</f>
        <v>Twitter Web Client</v>
      </c>
      <c r="L1590" s="12">
        <v>2240182</v>
      </c>
      <c r="M1590" s="12">
        <v>2735</v>
      </c>
      <c r="N1590" s="12">
        <v>8469</v>
      </c>
      <c r="O1590" s="18" t="s">
        <v>52</v>
      </c>
      <c r="P1590" s="6">
        <v>40351.200300925928</v>
      </c>
      <c r="Q1590" s="16" t="s">
        <v>38</v>
      </c>
      <c r="R1590" s="17" t="s">
        <v>389</v>
      </c>
      <c r="S1590" s="14" t="s">
        <v>58</v>
      </c>
      <c r="T1590" s="11"/>
      <c r="U1590" s="10" t="str">
        <f>HYPERLINK("https://pbs.twimg.com/profile_images/902223370569338884/dL2D2A5P.jpg","View")</f>
        <v>View</v>
      </c>
    </row>
    <row r="1591" spans="1:21" ht="102">
      <c r="A1591" s="6">
        <v>43425.484027777777</v>
      </c>
      <c r="B1591" s="7" t="str">
        <f>HYPERLINK("https://twitter.com/avefdez","@avefdez")</f>
        <v>@avefdez</v>
      </c>
      <c r="C1591" s="8" t="s">
        <v>6900</v>
      </c>
      <c r="D1591" s="9" t="s">
        <v>6901</v>
      </c>
      <c r="E1591" s="10" t="str">
        <f>HYPERLINK("https://twitter.com/avefdez/status/1065328241559388162","1065328241559388162")</f>
        <v>1065328241559388162</v>
      </c>
      <c r="F1591" s="14" t="s">
        <v>3749</v>
      </c>
      <c r="G1591" s="14" t="s">
        <v>3750</v>
      </c>
      <c r="H1591" s="11"/>
      <c r="I1591" s="12">
        <v>0</v>
      </c>
      <c r="J1591" s="12">
        <v>0</v>
      </c>
      <c r="K1591" s="13" t="str">
        <f t="shared" si="332"/>
        <v>Twitter Web Client</v>
      </c>
      <c r="L1591" s="12">
        <v>9474</v>
      </c>
      <c r="M1591" s="12">
        <v>9975</v>
      </c>
      <c r="N1591" s="12">
        <v>283</v>
      </c>
      <c r="O1591" s="15"/>
      <c r="P1591" s="6">
        <v>40111.205428240741</v>
      </c>
      <c r="Q1591" s="16" t="s">
        <v>6902</v>
      </c>
      <c r="R1591" s="17" t="s">
        <v>6903</v>
      </c>
      <c r="S1591" s="14" t="s">
        <v>6904</v>
      </c>
      <c r="T1591" s="11"/>
      <c r="U1591" s="10" t="str">
        <f>HYPERLINK("https://pbs.twimg.com/profile_images/980567725591457792/5wCL5RHF.jpg","View")</f>
        <v>View</v>
      </c>
    </row>
    <row r="1592" spans="1:21" ht="40.799999999999997">
      <c r="A1592" s="6">
        <v>43425.48064814815</v>
      </c>
      <c r="B1592" s="7" t="str">
        <f>HYPERLINK("https://twitter.com/kikevlc79","@kikevlc79")</f>
        <v>@kikevlc79</v>
      </c>
      <c r="C1592" s="8" t="s">
        <v>3732</v>
      </c>
      <c r="D1592" s="9" t="s">
        <v>3733</v>
      </c>
      <c r="E1592" s="10" t="str">
        <f>HYPERLINK("https://twitter.com/kikevlc79/status/1065327018169040896","1065327018169040896")</f>
        <v>1065327018169040896</v>
      </c>
      <c r="F1592" s="11"/>
      <c r="G1592" s="14" t="s">
        <v>3734</v>
      </c>
      <c r="H1592" s="11"/>
      <c r="I1592" s="12">
        <v>2</v>
      </c>
      <c r="J1592" s="12">
        <v>2</v>
      </c>
      <c r="K1592" s="13" t="str">
        <f>HYPERLINK("http://twitter.com/download/android","Twitter for Android")</f>
        <v>Twitter for Android</v>
      </c>
      <c r="L1592" s="12">
        <v>1831</v>
      </c>
      <c r="M1592" s="12">
        <v>1094</v>
      </c>
      <c r="N1592" s="12">
        <v>19</v>
      </c>
      <c r="O1592" s="15"/>
      <c r="P1592" s="6">
        <v>40871.615671296298</v>
      </c>
      <c r="Q1592" s="16" t="s">
        <v>3735</v>
      </c>
      <c r="R1592" s="17" t="s">
        <v>3736</v>
      </c>
      <c r="S1592" s="14" t="s">
        <v>3737</v>
      </c>
      <c r="T1592" s="11"/>
      <c r="U1592" s="10" t="str">
        <f>HYPERLINK("https://pbs.twimg.com/profile_images/940157389247995905/tk254W7i.jpg","View")</f>
        <v>View</v>
      </c>
    </row>
    <row r="1593" spans="1:21" ht="13.2">
      <c r="A1593" s="6">
        <v>43425.478888888887</v>
      </c>
      <c r="B1593" s="7" t="str">
        <f>HYPERLINK("https://twitter.com/erreJulian","@erreJulian")</f>
        <v>@erreJulian</v>
      </c>
      <c r="C1593" s="8" t="s">
        <v>3738</v>
      </c>
      <c r="D1593" s="9" t="s">
        <v>3739</v>
      </c>
      <c r="E1593" s="10" t="str">
        <f>HYPERLINK("https://twitter.com/erreJulian/status/1065326378705477633","1065326378705477633")</f>
        <v>1065326378705477633</v>
      </c>
      <c r="F1593" s="11"/>
      <c r="G1593" s="14" t="s">
        <v>3741</v>
      </c>
      <c r="H1593" s="11"/>
      <c r="I1593" s="12">
        <v>0</v>
      </c>
      <c r="J1593" s="12">
        <v>0</v>
      </c>
      <c r="K1593" s="13" t="str">
        <f>HYPERLINK("http://twitter.com","Twitter Web Client")</f>
        <v>Twitter Web Client</v>
      </c>
      <c r="L1593" s="12">
        <v>659</v>
      </c>
      <c r="M1593" s="12">
        <v>396</v>
      </c>
      <c r="N1593" s="12">
        <v>16</v>
      </c>
      <c r="O1593" s="15"/>
      <c r="P1593" s="6">
        <v>40641.704594907409</v>
      </c>
      <c r="Q1593" s="16" t="s">
        <v>3742</v>
      </c>
      <c r="R1593" s="17" t="s">
        <v>3743</v>
      </c>
      <c r="S1593" s="14" t="s">
        <v>3744</v>
      </c>
      <c r="T1593" s="11"/>
      <c r="U1593" s="10" t="str">
        <f>HYPERLINK("https://pbs.twimg.com/profile_images/1039340588716490752/XBFtAE4O.jpg","View")</f>
        <v>View</v>
      </c>
    </row>
    <row r="1594" spans="1:21" ht="51">
      <c r="A1594" s="6">
        <v>43425.477210648147</v>
      </c>
      <c r="B1594" s="7" t="str">
        <f>HYPERLINK("https://twitter.com/angeloy_","@angeloy_")</f>
        <v>@angeloy_</v>
      </c>
      <c r="C1594" s="8" t="s">
        <v>6905</v>
      </c>
      <c r="D1594" s="9" t="s">
        <v>6906</v>
      </c>
      <c r="E1594" s="10" t="str">
        <f>HYPERLINK("https://twitter.com/angeloy_/status/1065325770292293635","1065325770292293635")</f>
        <v>1065325770292293635</v>
      </c>
      <c r="F1594" s="11"/>
      <c r="G1594" s="11"/>
      <c r="H1594" s="11"/>
      <c r="I1594" s="12">
        <v>1</v>
      </c>
      <c r="J1594" s="12">
        <v>1</v>
      </c>
      <c r="K1594" s="13" t="str">
        <f t="shared" ref="K1594:K1595" si="333">HYPERLINK("http://twitter.com/download/android","Twitter for Android")</f>
        <v>Twitter for Android</v>
      </c>
      <c r="L1594" s="12">
        <v>5282</v>
      </c>
      <c r="M1594" s="12">
        <v>4926</v>
      </c>
      <c r="N1594" s="12">
        <v>43</v>
      </c>
      <c r="O1594" s="15"/>
      <c r="P1594" s="6">
        <v>41000.146874999999</v>
      </c>
      <c r="Q1594" s="16" t="s">
        <v>6907</v>
      </c>
      <c r="R1594" s="17" t="s">
        <v>6908</v>
      </c>
      <c r="S1594" s="11"/>
      <c r="T1594" s="11"/>
      <c r="U1594" s="10" t="str">
        <f>HYPERLINK("https://pbs.twimg.com/profile_images/995089607221043205/blYpKQh3.jpg","View")</f>
        <v>View</v>
      </c>
    </row>
    <row r="1595" spans="1:21" ht="81.599999999999994">
      <c r="A1595" s="6">
        <v>43425.472812499997</v>
      </c>
      <c r="B1595" s="7" t="str">
        <f>HYPERLINK("https://twitter.com/tonnirubio88","@tonnirubio88")</f>
        <v>@tonnirubio88</v>
      </c>
      <c r="C1595" s="8" t="s">
        <v>3747</v>
      </c>
      <c r="D1595" s="9" t="s">
        <v>3748</v>
      </c>
      <c r="E1595" s="10" t="str">
        <f>HYPERLINK("https://twitter.com/tonnirubio88/status/1065324176137961478","1065324176137961478")</f>
        <v>1065324176137961478</v>
      </c>
      <c r="F1595" s="14" t="s">
        <v>3749</v>
      </c>
      <c r="G1595" s="14" t="s">
        <v>3750</v>
      </c>
      <c r="H1595" s="11"/>
      <c r="I1595" s="12">
        <v>1</v>
      </c>
      <c r="J1595" s="12">
        <v>0</v>
      </c>
      <c r="K1595" s="13" t="str">
        <f t="shared" si="333"/>
        <v>Twitter for Android</v>
      </c>
      <c r="L1595" s="12">
        <v>1875</v>
      </c>
      <c r="M1595" s="12">
        <v>1678</v>
      </c>
      <c r="N1595" s="12">
        <v>61</v>
      </c>
      <c r="O1595" s="15"/>
      <c r="P1595" s="6">
        <v>41281.55333333333</v>
      </c>
      <c r="Q1595" s="16" t="s">
        <v>3752</v>
      </c>
      <c r="R1595" s="17" t="s">
        <v>3753</v>
      </c>
      <c r="S1595" s="11"/>
      <c r="T1595" s="11"/>
      <c r="U1595" s="10" t="str">
        <f>HYPERLINK("https://pbs.twimg.com/profile_images/1048656985707761665/aWE6Ov8d.jpg","View")</f>
        <v>View</v>
      </c>
    </row>
    <row r="1596" spans="1:21" ht="20.399999999999999">
      <c r="A1596" s="6">
        <v>43425.47274305555</v>
      </c>
      <c r="B1596" s="7" t="str">
        <f>HYPERLINK("https://twitter.com/leninistfenix","@leninistfenix")</f>
        <v>@leninistfenix</v>
      </c>
      <c r="C1596" s="8" t="s">
        <v>3755</v>
      </c>
      <c r="D1596" s="9" t="s">
        <v>3756</v>
      </c>
      <c r="E1596" s="10" t="str">
        <f>HYPERLINK("https://twitter.com/leninistfenix/status/1065324153807474689","1065324153807474689")</f>
        <v>1065324153807474689</v>
      </c>
      <c r="F1596" s="14" t="s">
        <v>3758</v>
      </c>
      <c r="G1596" s="11"/>
      <c r="H1596" s="11"/>
      <c r="I1596" s="12">
        <v>0</v>
      </c>
      <c r="J1596" s="12">
        <v>1</v>
      </c>
      <c r="K1596" s="13" t="str">
        <f>HYPERLINK("https://curiouscat.me","Curious Cat")</f>
        <v>Curious Cat</v>
      </c>
      <c r="L1596" s="12">
        <v>1852</v>
      </c>
      <c r="M1596" s="12">
        <v>170</v>
      </c>
      <c r="N1596" s="12">
        <v>19</v>
      </c>
      <c r="O1596" s="15"/>
      <c r="P1596" s="6">
        <v>42581.259398148148</v>
      </c>
      <c r="Q1596" s="16" t="s">
        <v>123</v>
      </c>
      <c r="R1596" s="17" t="s">
        <v>3761</v>
      </c>
      <c r="S1596" s="11"/>
      <c r="T1596" s="11"/>
      <c r="U1596" s="10" t="str">
        <f>HYPERLINK("https://pbs.twimg.com/profile_images/993523009347620868/t96gk1Jt.jpg","View")</f>
        <v>View</v>
      </c>
    </row>
    <row r="1597" spans="1:21" ht="40.799999999999997">
      <c r="A1597" s="6">
        <v>43425.472175925926</v>
      </c>
      <c r="B1597" s="7" t="str">
        <f>HYPERLINK("https://twitter.com/JagValdezate","@JagValdezate")</f>
        <v>@JagValdezate</v>
      </c>
      <c r="C1597" s="8" t="s">
        <v>3762</v>
      </c>
      <c r="D1597" s="9" t="s">
        <v>3763</v>
      </c>
      <c r="E1597" s="10" t="str">
        <f>HYPERLINK("https://twitter.com/JagValdezate/status/1065323945862316033","1065323945862316033")</f>
        <v>1065323945862316033</v>
      </c>
      <c r="F1597" s="14" t="s">
        <v>3764</v>
      </c>
      <c r="G1597" s="14" t="s">
        <v>3765</v>
      </c>
      <c r="H1597" s="11"/>
      <c r="I1597" s="12">
        <v>0</v>
      </c>
      <c r="J1597" s="12">
        <v>0</v>
      </c>
      <c r="K1597" s="13" t="str">
        <f t="shared" ref="K1597:K1598" si="334">HYPERLINK("http://twitter.com","Twitter Web Client")</f>
        <v>Twitter Web Client</v>
      </c>
      <c r="L1597" s="12">
        <v>3709</v>
      </c>
      <c r="M1597" s="12">
        <v>3793</v>
      </c>
      <c r="N1597" s="12">
        <v>24</v>
      </c>
      <c r="O1597" s="15"/>
      <c r="P1597" s="6">
        <v>40377.334814814814</v>
      </c>
      <c r="Q1597" s="16" t="s">
        <v>38</v>
      </c>
      <c r="R1597" s="17" t="s">
        <v>3767</v>
      </c>
      <c r="S1597" s="14" t="s">
        <v>3768</v>
      </c>
      <c r="T1597" s="11"/>
      <c r="U1597" s="10" t="str">
        <f>HYPERLINK("https://pbs.twimg.com/profile_images/446611538606964736/S6EfMdkM.jpeg","View")</f>
        <v>View</v>
      </c>
    </row>
    <row r="1598" spans="1:21" ht="51">
      <c r="A1598" s="6">
        <v>43425.471365740741</v>
      </c>
      <c r="B1598" s="7" t="str">
        <f>HYPERLINK("https://twitter.com/SergioOlles","@SergioOlles")</f>
        <v>@SergioOlles</v>
      </c>
      <c r="C1598" s="8" t="s">
        <v>6910</v>
      </c>
      <c r="D1598" s="9" t="s">
        <v>6911</v>
      </c>
      <c r="E1598" s="10" t="str">
        <f>HYPERLINK("https://twitter.com/SergioOlles/status/1065323655348084737","1065323655348084737")</f>
        <v>1065323655348084737</v>
      </c>
      <c r="F1598" s="11"/>
      <c r="G1598" s="14" t="s">
        <v>6912</v>
      </c>
      <c r="H1598" s="11"/>
      <c r="I1598" s="12">
        <v>0</v>
      </c>
      <c r="J1598" s="12">
        <v>1</v>
      </c>
      <c r="K1598" s="13" t="str">
        <f t="shared" si="334"/>
        <v>Twitter Web Client</v>
      </c>
      <c r="L1598" s="12">
        <v>438</v>
      </c>
      <c r="M1598" s="12">
        <v>306</v>
      </c>
      <c r="N1598" s="12">
        <v>5</v>
      </c>
      <c r="O1598" s="15"/>
      <c r="P1598" s="6">
        <v>40495.037974537037</v>
      </c>
      <c r="Q1598" s="16" t="s">
        <v>6913</v>
      </c>
      <c r="R1598" s="17" t="s">
        <v>6914</v>
      </c>
      <c r="S1598" s="14" t="s">
        <v>6915</v>
      </c>
      <c r="T1598" s="11"/>
      <c r="U1598" s="10" t="str">
        <f>HYPERLINK("https://pbs.twimg.com/profile_images/1029733956625817601/1n_FdcAt.jpg","View")</f>
        <v>View</v>
      </c>
    </row>
    <row r="1599" spans="1:21" ht="20.399999999999999">
      <c r="A1599" s="6">
        <v>43425.470370370371</v>
      </c>
      <c r="B1599" s="7" t="str">
        <f>HYPERLINK("https://twitter.com/AndyWarrol","@AndyWarrol")</f>
        <v>@AndyWarrol</v>
      </c>
      <c r="C1599" s="8" t="s">
        <v>6916</v>
      </c>
      <c r="D1599" s="9" t="s">
        <v>6917</v>
      </c>
      <c r="E1599" s="10" t="str">
        <f>HYPERLINK("https://twitter.com/AndyWarrol/status/1065323292955955201","1065323292955955201")</f>
        <v>1065323292955955201</v>
      </c>
      <c r="F1599" s="11"/>
      <c r="G1599" s="14" t="s">
        <v>6918</v>
      </c>
      <c r="H1599" s="11"/>
      <c r="I1599" s="12">
        <v>0</v>
      </c>
      <c r="J1599" s="12">
        <v>0</v>
      </c>
      <c r="K1599" s="13" t="str">
        <f t="shared" ref="K1599:K1601" si="335">HYPERLINK("http://twitter.com/download/android","Twitter for Android")</f>
        <v>Twitter for Android</v>
      </c>
      <c r="L1599" s="12">
        <v>1765</v>
      </c>
      <c r="M1599" s="12">
        <v>573</v>
      </c>
      <c r="N1599" s="12">
        <v>83</v>
      </c>
      <c r="O1599" s="15"/>
      <c r="P1599" s="6">
        <v>40163.384016203701</v>
      </c>
      <c r="Q1599" s="16" t="s">
        <v>3715</v>
      </c>
      <c r="R1599" s="17" t="s">
        <v>6919</v>
      </c>
      <c r="S1599" s="14" t="s">
        <v>6920</v>
      </c>
      <c r="T1599" s="11"/>
      <c r="U1599" s="10" t="str">
        <f>HYPERLINK("https://pbs.twimg.com/profile_images/1024939785343913984/Zx6uwRg2.jpg","View")</f>
        <v>View</v>
      </c>
    </row>
    <row r="1600" spans="1:21" ht="30.6">
      <c r="A1600" s="6">
        <v>43425.470300925925</v>
      </c>
      <c r="B1600" s="7" t="str">
        <f>HYPERLINK("https://twitter.com/LiendreMtro","@LiendreMtro")</f>
        <v>@LiendreMtro</v>
      </c>
      <c r="C1600" s="8" t="s">
        <v>3769</v>
      </c>
      <c r="D1600" s="9" t="s">
        <v>3770</v>
      </c>
      <c r="E1600" s="10" t="str">
        <f>HYPERLINK("https://twitter.com/LiendreMtro/status/1065323266863190016","1065323266863190016")</f>
        <v>1065323266863190016</v>
      </c>
      <c r="F1600" s="11"/>
      <c r="G1600" s="11"/>
      <c r="H1600" s="11"/>
      <c r="I1600" s="12">
        <v>0</v>
      </c>
      <c r="J1600" s="12">
        <v>0</v>
      </c>
      <c r="K1600" s="13" t="str">
        <f t="shared" si="335"/>
        <v>Twitter for Android</v>
      </c>
      <c r="L1600" s="12">
        <v>18</v>
      </c>
      <c r="M1600" s="12">
        <v>365</v>
      </c>
      <c r="N1600" s="12">
        <v>0</v>
      </c>
      <c r="O1600" s="15"/>
      <c r="P1600" s="6">
        <v>43324.120486111111</v>
      </c>
      <c r="Q1600" s="16" t="s">
        <v>407</v>
      </c>
      <c r="R1600" s="17" t="s">
        <v>3773</v>
      </c>
      <c r="S1600" s="11"/>
      <c r="T1600" s="11"/>
      <c r="U1600" s="10" t="str">
        <f>HYPERLINK("https://pbs.twimg.com/profile_images/1028583034554142721/mvuaqj-Q.jpg","View")</f>
        <v>View</v>
      </c>
    </row>
    <row r="1601" spans="1:21" ht="20.399999999999999">
      <c r="A1601" s="6">
        <v>43425.468773148154</v>
      </c>
      <c r="B1601" s="7" t="str">
        <f>HYPERLINK("https://twitter.com/plumtowers","@plumtowers")</f>
        <v>@plumtowers</v>
      </c>
      <c r="C1601" s="8" t="s">
        <v>6921</v>
      </c>
      <c r="D1601" s="9" t="s">
        <v>6922</v>
      </c>
      <c r="E1601" s="10" t="str">
        <f>HYPERLINK("https://twitter.com/plumtowers/status/1065322715463237633","1065322715463237633")</f>
        <v>1065322715463237633</v>
      </c>
      <c r="F1601" s="11"/>
      <c r="G1601" s="11"/>
      <c r="H1601" s="11"/>
      <c r="I1601" s="12">
        <v>0</v>
      </c>
      <c r="J1601" s="12">
        <v>1</v>
      </c>
      <c r="K1601" s="13" t="str">
        <f t="shared" si="335"/>
        <v>Twitter for Android</v>
      </c>
      <c r="L1601" s="12">
        <v>49</v>
      </c>
      <c r="M1601" s="12">
        <v>152</v>
      </c>
      <c r="N1601" s="12">
        <v>0</v>
      </c>
      <c r="O1601" s="15"/>
      <c r="P1601" s="6">
        <v>40882.575046296297</v>
      </c>
      <c r="Q1601" s="11"/>
      <c r="R1601" s="19"/>
      <c r="S1601" s="14" t="s">
        <v>6923</v>
      </c>
      <c r="T1601" s="11"/>
      <c r="U1601" s="10" t="str">
        <f>HYPERLINK("https://pbs.twimg.com/profile_images/676009234509799424/KbcSWWsj.jpg","View")</f>
        <v>View</v>
      </c>
    </row>
    <row r="1602" spans="1:21" ht="20.399999999999999">
      <c r="A1602" s="6">
        <v>43425.468773148154</v>
      </c>
      <c r="B1602" s="7" t="str">
        <f>HYPERLINK("https://twitter.com/ForLukka","@ForLukka")</f>
        <v>@ForLukka</v>
      </c>
      <c r="C1602" s="8" t="s">
        <v>6924</v>
      </c>
      <c r="D1602" s="9" t="s">
        <v>6925</v>
      </c>
      <c r="E1602" s="10" t="str">
        <f>HYPERLINK("https://twitter.com/ForLukka/status/1065322712661458944","1065322712661458944")</f>
        <v>1065322712661458944</v>
      </c>
      <c r="F1602" s="14" t="s">
        <v>4200</v>
      </c>
      <c r="G1602" s="11"/>
      <c r="H1602" s="11"/>
      <c r="I1602" s="12">
        <v>0</v>
      </c>
      <c r="J1602" s="12">
        <v>0</v>
      </c>
      <c r="K1602" s="13" t="str">
        <f>HYPERLINK("http://twitter.com/download/iphone","Twitter for iPhone")</f>
        <v>Twitter for iPhone</v>
      </c>
      <c r="L1602" s="12">
        <v>378</v>
      </c>
      <c r="M1602" s="12">
        <v>811</v>
      </c>
      <c r="N1602" s="12">
        <v>9</v>
      </c>
      <c r="O1602" s="15"/>
      <c r="P1602" s="6">
        <v>42147.18849537037</v>
      </c>
      <c r="Q1602" s="16" t="s">
        <v>6926</v>
      </c>
      <c r="R1602" s="19"/>
      <c r="S1602" s="11"/>
      <c r="T1602" s="11"/>
      <c r="U1602" s="10" t="str">
        <f>HYPERLINK("https://pbs.twimg.com/profile_images/946034211647033345/CTmLOsKx.jpg","View")</f>
        <v>View</v>
      </c>
    </row>
    <row r="1603" spans="1:21" ht="30.6">
      <c r="A1603" s="6">
        <v>43425.467685185184</v>
      </c>
      <c r="B1603" s="7" t="str">
        <f>HYPERLINK("https://twitter.com/ITomicoCuenca","@ITomicoCuenca")</f>
        <v>@ITomicoCuenca</v>
      </c>
      <c r="C1603" s="8" t="s">
        <v>6927</v>
      </c>
      <c r="D1603" s="9" t="s">
        <v>6928</v>
      </c>
      <c r="E1603" s="10" t="str">
        <f>HYPERLINK("https://twitter.com/ITomicoCuenca/status/1065322321303478280","1065322321303478280")</f>
        <v>1065322321303478280</v>
      </c>
      <c r="F1603" s="14" t="s">
        <v>5692</v>
      </c>
      <c r="G1603" s="14" t="s">
        <v>6929</v>
      </c>
      <c r="H1603" s="11"/>
      <c r="I1603" s="12">
        <v>0</v>
      </c>
      <c r="J1603" s="12">
        <v>0</v>
      </c>
      <c r="K1603" s="13" t="str">
        <f>HYPERLINK("http://twitter.com/download/android","Twitter for Android")</f>
        <v>Twitter for Android</v>
      </c>
      <c r="L1603" s="12">
        <v>83</v>
      </c>
      <c r="M1603" s="12">
        <v>369</v>
      </c>
      <c r="N1603" s="12">
        <v>1</v>
      </c>
      <c r="O1603" s="15"/>
      <c r="P1603" s="6">
        <v>41498.487708333334</v>
      </c>
      <c r="Q1603" s="11"/>
      <c r="R1603" s="17" t="s">
        <v>6930</v>
      </c>
      <c r="S1603" s="11"/>
      <c r="T1603" s="11"/>
      <c r="U1603" s="10" t="str">
        <f>HYPERLINK("https://pbs.twimg.com/profile_images/550784850962440192/HNr7sQTD.jpeg","View")</f>
        <v>View</v>
      </c>
    </row>
    <row r="1604" spans="1:21" ht="81.599999999999994">
      <c r="A1604" s="6">
        <v>43425.46675925926</v>
      </c>
      <c r="B1604" s="7" t="str">
        <f>HYPERLINK("https://twitter.com/Eusanties","@Eusanties")</f>
        <v>@Eusanties</v>
      </c>
      <c r="C1604" s="8" t="s">
        <v>6931</v>
      </c>
      <c r="D1604" s="9" t="s">
        <v>6932</v>
      </c>
      <c r="E1604" s="10" t="str">
        <f>HYPERLINK("https://twitter.com/Eusanties/status/1065321984010199040","1065321984010199040")</f>
        <v>1065321984010199040</v>
      </c>
      <c r="F1604" s="14" t="s">
        <v>6933</v>
      </c>
      <c r="G1604" s="14" t="s">
        <v>6934</v>
      </c>
      <c r="H1604" s="11"/>
      <c r="I1604" s="12">
        <v>0</v>
      </c>
      <c r="J1604" s="12">
        <v>0</v>
      </c>
      <c r="K1604" s="13" t="str">
        <f>HYPERLINK("http://twitter.com","Twitter Web Client")</f>
        <v>Twitter Web Client</v>
      </c>
      <c r="L1604" s="12">
        <v>197</v>
      </c>
      <c r="M1604" s="12">
        <v>477</v>
      </c>
      <c r="N1604" s="12">
        <v>1</v>
      </c>
      <c r="O1604" s="15"/>
      <c r="P1604" s="6">
        <v>41842.257291666669</v>
      </c>
      <c r="Q1604" s="16" t="s">
        <v>6935</v>
      </c>
      <c r="R1604" s="17" t="s">
        <v>6936</v>
      </c>
      <c r="S1604" s="14" t="s">
        <v>6937</v>
      </c>
      <c r="T1604" s="11"/>
      <c r="U1604" s="10" t="str">
        <f>HYPERLINK("https://pbs.twimg.com/profile_images/1053788634204254208/l6wUX4tE.jpg","View")</f>
        <v>View</v>
      </c>
    </row>
    <row r="1605" spans="1:21" ht="40.799999999999997">
      <c r="A1605" s="6">
        <v>43425.464166666672</v>
      </c>
      <c r="B1605" s="7" t="str">
        <f>HYPERLINK("https://twitter.com/Real_Madrid_RD","@Real_Madrid_RD")</f>
        <v>@Real_Madrid_RD</v>
      </c>
      <c r="C1605" s="8" t="s">
        <v>3774</v>
      </c>
      <c r="D1605" s="9" t="s">
        <v>3775</v>
      </c>
      <c r="E1605" s="10" t="str">
        <f>HYPERLINK("https://twitter.com/Real_Madrid_RD/status/1065321044616126464","1065321044616126464")</f>
        <v>1065321044616126464</v>
      </c>
      <c r="F1605" s="14" t="s">
        <v>3777</v>
      </c>
      <c r="G1605" s="14" t="s">
        <v>3778</v>
      </c>
      <c r="H1605" s="11"/>
      <c r="I1605" s="12">
        <v>0</v>
      </c>
      <c r="J1605" s="12">
        <v>0</v>
      </c>
      <c r="K1605" s="13" t="str">
        <f>HYPERLINK("http://twitter.com/download/android","Twitter for Android")</f>
        <v>Twitter for Android</v>
      </c>
      <c r="L1605" s="12">
        <v>1164</v>
      </c>
      <c r="M1605" s="12">
        <v>600</v>
      </c>
      <c r="N1605" s="12">
        <v>17</v>
      </c>
      <c r="O1605" s="15"/>
      <c r="P1605" s="6">
        <v>41010.387696759259</v>
      </c>
      <c r="Q1605" s="16" t="s">
        <v>3779</v>
      </c>
      <c r="R1605" s="17" t="s">
        <v>3780</v>
      </c>
      <c r="S1605" s="11"/>
      <c r="T1605" s="11"/>
      <c r="U1605" s="10" t="str">
        <f>HYPERLINK("https://pbs.twimg.com/profile_images/895709966551699457/2k7VuD1w.jpg","View")</f>
        <v>View</v>
      </c>
    </row>
    <row r="1606" spans="1:21" ht="30.6">
      <c r="A1606" s="6">
        <v>43425.46193287037</v>
      </c>
      <c r="B1606" s="7" t="str">
        <f>HYPERLINK("https://twitter.com/Politrologo","@Politrologo")</f>
        <v>@Politrologo</v>
      </c>
      <c r="C1606" s="27" t="s">
        <v>2894</v>
      </c>
      <c r="D1606" s="9" t="s">
        <v>6938</v>
      </c>
      <c r="E1606" s="10" t="str">
        <f>HYPERLINK("https://twitter.com/Politrologo/status/1065320234205282304","1065320234205282304")</f>
        <v>1065320234205282304</v>
      </c>
      <c r="F1606" s="14" t="s">
        <v>1267</v>
      </c>
      <c r="G1606" s="14" t="s">
        <v>6939</v>
      </c>
      <c r="H1606" s="11"/>
      <c r="I1606" s="12">
        <v>0</v>
      </c>
      <c r="J1606" s="12">
        <v>0</v>
      </c>
      <c r="K1606" s="13" t="str">
        <f>HYPERLINK("http://twitter.com/download/iphone","Twitter for iPhone")</f>
        <v>Twitter for iPhone</v>
      </c>
      <c r="L1606" s="12">
        <v>72</v>
      </c>
      <c r="M1606" s="12">
        <v>655</v>
      </c>
      <c r="N1606" s="12">
        <v>0</v>
      </c>
      <c r="O1606" s="15"/>
      <c r="P1606" s="6">
        <v>43321.732106481482</v>
      </c>
      <c r="Q1606" s="16" t="s">
        <v>2896</v>
      </c>
      <c r="R1606" s="17" t="s">
        <v>2897</v>
      </c>
      <c r="S1606" s="11"/>
      <c r="T1606" s="11"/>
      <c r="U1606" s="10" t="str">
        <f>HYPERLINK("https://pbs.twimg.com/profile_images/1065282260394549248/ZyPKxUfO.jpg","View")</f>
        <v>View</v>
      </c>
    </row>
    <row r="1607" spans="1:21" ht="40.799999999999997">
      <c r="A1607" s="6">
        <v>43425.458622685182</v>
      </c>
      <c r="B1607" s="7" t="str">
        <f>HYPERLINK("https://twitter.com/tetratraviesa","@tetratraviesa")</f>
        <v>@tetratraviesa</v>
      </c>
      <c r="C1607" s="8" t="s">
        <v>3783</v>
      </c>
      <c r="D1607" s="9" t="s">
        <v>3784</v>
      </c>
      <c r="E1607" s="10" t="str">
        <f>HYPERLINK("https://twitter.com/tetratraviesa/status/1065319038006501377","1065319038006501377")</f>
        <v>1065319038006501377</v>
      </c>
      <c r="F1607" s="14" t="s">
        <v>3785</v>
      </c>
      <c r="G1607" s="14" t="s">
        <v>3786</v>
      </c>
      <c r="H1607" s="11"/>
      <c r="I1607" s="12">
        <v>0</v>
      </c>
      <c r="J1607" s="12">
        <v>0</v>
      </c>
      <c r="K1607" s="13" t="str">
        <f>HYPERLINK("https://mobile.twitter.com","Twitter Lite")</f>
        <v>Twitter Lite</v>
      </c>
      <c r="L1607" s="12">
        <v>102</v>
      </c>
      <c r="M1607" s="12">
        <v>321</v>
      </c>
      <c r="N1607" s="12">
        <v>0</v>
      </c>
      <c r="O1607" s="15"/>
      <c r="P1607" s="6">
        <v>43186.356273148151</v>
      </c>
      <c r="Q1607" s="11"/>
      <c r="R1607" s="17" t="s">
        <v>3789</v>
      </c>
      <c r="S1607" s="11"/>
      <c r="T1607" s="11"/>
      <c r="U1607" s="10" t="str">
        <f>HYPERLINK("https://pbs.twimg.com/profile_images/1000959553247285248/Py4FSQoT.jpg","View")</f>
        <v>View</v>
      </c>
    </row>
    <row r="1608" spans="1:21" ht="20.399999999999999">
      <c r="A1608" s="6">
        <v>43425.456655092596</v>
      </c>
      <c r="B1608" s="7" t="str">
        <f>HYPERLINK("https://twitter.com/RT_Podemos","@RT_Podemos")</f>
        <v>@RT_Podemos</v>
      </c>
      <c r="C1608" s="8" t="s">
        <v>6940</v>
      </c>
      <c r="D1608" s="9" t="s">
        <v>6941</v>
      </c>
      <c r="E1608" s="10" t="str">
        <f>HYPERLINK("https://twitter.com/RT_Podemos/status/1065318323599147009","1065318323599147009")</f>
        <v>1065318323599147009</v>
      </c>
      <c r="F1608" s="14" t="s">
        <v>3889</v>
      </c>
      <c r="G1608" s="11"/>
      <c r="H1608" s="11"/>
      <c r="I1608" s="12">
        <v>1</v>
      </c>
      <c r="J1608" s="12">
        <v>1</v>
      </c>
      <c r="K1608" s="13" t="str">
        <f>HYPERLINK("http://twitter.com/download/android","Twitter for Android")</f>
        <v>Twitter for Android</v>
      </c>
      <c r="L1608" s="12">
        <v>888</v>
      </c>
      <c r="M1608" s="12">
        <v>822</v>
      </c>
      <c r="N1608" s="12">
        <v>10</v>
      </c>
      <c r="O1608" s="15"/>
      <c r="P1608" s="6">
        <v>42365.660416666666</v>
      </c>
      <c r="Q1608" s="16" t="s">
        <v>87</v>
      </c>
      <c r="R1608" s="17" t="s">
        <v>6942</v>
      </c>
      <c r="S1608" s="14" t="s">
        <v>4490</v>
      </c>
      <c r="T1608" s="11"/>
      <c r="U1608" s="10" t="str">
        <f>HYPERLINK("https://pbs.twimg.com/profile_images/956368432038998016/iIAR1zXD.jpg","View")</f>
        <v>View</v>
      </c>
    </row>
    <row r="1609" spans="1:21" ht="20.399999999999999">
      <c r="A1609" s="6">
        <v>43425.456458333334</v>
      </c>
      <c r="B1609" s="7" t="str">
        <f>HYPERLINK("https://twitter.com/anfivas","@anfivas")</f>
        <v>@anfivas</v>
      </c>
      <c r="C1609" s="8" t="s">
        <v>6943</v>
      </c>
      <c r="D1609" s="9" t="s">
        <v>6944</v>
      </c>
      <c r="E1609" s="10" t="str">
        <f>HYPERLINK("https://twitter.com/anfivas/status/1065318250433527809","1065318250433527809")</f>
        <v>1065318250433527809</v>
      </c>
      <c r="F1609" s="14" t="s">
        <v>6945</v>
      </c>
      <c r="G1609" s="14" t="s">
        <v>6946</v>
      </c>
      <c r="H1609" s="11"/>
      <c r="I1609" s="12">
        <v>0</v>
      </c>
      <c r="J1609" s="12">
        <v>0</v>
      </c>
      <c r="K1609" s="13" t="str">
        <f>HYPERLINK("http://twitter.com","Twitter Web Client")</f>
        <v>Twitter Web Client</v>
      </c>
      <c r="L1609" s="12">
        <v>3274</v>
      </c>
      <c r="M1609" s="12">
        <v>510</v>
      </c>
      <c r="N1609" s="12">
        <v>42</v>
      </c>
      <c r="O1609" s="15"/>
      <c r="P1609" s="6">
        <v>40329.484444444446</v>
      </c>
      <c r="Q1609" s="16" t="s">
        <v>6947</v>
      </c>
      <c r="R1609" s="17" t="s">
        <v>6948</v>
      </c>
      <c r="S1609" s="11"/>
      <c r="T1609" s="11"/>
      <c r="U1609" s="10" t="str">
        <f>HYPERLINK("https://pbs.twimg.com/profile_images/3651362137/c794881c39f0ac77c4717f837cc35227.gif","View")</f>
        <v>View</v>
      </c>
    </row>
    <row r="1610" spans="1:21" ht="30.6">
      <c r="A1610" s="6">
        <v>43425.452546296292</v>
      </c>
      <c r="B1610" s="7" t="str">
        <f>HYPERLINK("https://twitter.com/HorcajoXavier","@HorcajoXavier")</f>
        <v>@HorcajoXavier</v>
      </c>
      <c r="C1610" s="8" t="s">
        <v>6949</v>
      </c>
      <c r="D1610" s="9" t="s">
        <v>6950</v>
      </c>
      <c r="E1610" s="10" t="str">
        <f>HYPERLINK("https://twitter.com/HorcajoXavier/status/1065316834763816962","1065316834763816962")</f>
        <v>1065316834763816962</v>
      </c>
      <c r="F1610" s="11"/>
      <c r="G1610" s="14" t="s">
        <v>6951</v>
      </c>
      <c r="H1610" s="11"/>
      <c r="I1610" s="12">
        <v>4</v>
      </c>
      <c r="J1610" s="12">
        <v>7</v>
      </c>
      <c r="K1610" s="13" t="str">
        <f>HYPERLINK("http://twitter.com/download/iphone","Twitter for iPhone")</f>
        <v>Twitter for iPhone</v>
      </c>
      <c r="L1610" s="12">
        <v>1544</v>
      </c>
      <c r="M1610" s="12">
        <v>135</v>
      </c>
      <c r="N1610" s="12">
        <v>13</v>
      </c>
      <c r="O1610" s="15"/>
      <c r="P1610" s="6">
        <v>43049.128101851849</v>
      </c>
      <c r="Q1610" s="16" t="s">
        <v>93</v>
      </c>
      <c r="R1610" s="17" t="s">
        <v>6952</v>
      </c>
      <c r="S1610" s="11"/>
      <c r="T1610" s="11"/>
      <c r="U1610" s="10" t="str">
        <f>HYPERLINK("https://pbs.twimg.com/profile_images/929344516598980609/wNLwk7o8.jpg","View")</f>
        <v>View</v>
      </c>
    </row>
    <row r="1611" spans="1:21" ht="51">
      <c r="A1611" s="6">
        <v>43425.451319444444</v>
      </c>
      <c r="B1611" s="7" t="str">
        <f>HYPERLINK("https://twitter.com/JerezNono","@JerezNono")</f>
        <v>@JerezNono</v>
      </c>
      <c r="C1611" s="8" t="s">
        <v>6953</v>
      </c>
      <c r="D1611" s="9" t="s">
        <v>6954</v>
      </c>
      <c r="E1611" s="10" t="str">
        <f>HYPERLINK("https://twitter.com/JerezNono/status/1065316391031660544","1065316391031660544")</f>
        <v>1065316391031660544</v>
      </c>
      <c r="F1611" s="11"/>
      <c r="G1611" s="11"/>
      <c r="H1611" s="11"/>
      <c r="I1611" s="12">
        <v>1</v>
      </c>
      <c r="J1611" s="12">
        <v>1</v>
      </c>
      <c r="K1611" s="13" t="str">
        <f>HYPERLINK("http://twitter.com/download/android","Twitter for Android")</f>
        <v>Twitter for Android</v>
      </c>
      <c r="L1611" s="12">
        <v>213</v>
      </c>
      <c r="M1611" s="12">
        <v>230</v>
      </c>
      <c r="N1611" s="12">
        <v>2</v>
      </c>
      <c r="O1611" s="15"/>
      <c r="P1611" s="6">
        <v>42091.97420138889</v>
      </c>
      <c r="Q1611" s="11"/>
      <c r="R1611" s="17" t="s">
        <v>6955</v>
      </c>
      <c r="S1611" s="11"/>
      <c r="T1611" s="11"/>
      <c r="U1611" s="10" t="str">
        <f>HYPERLINK("https://pbs.twimg.com/profile_images/1052849126965166080/AQ_wvd3l.jpg","View")</f>
        <v>View</v>
      </c>
    </row>
    <row r="1612" spans="1:21" ht="40.799999999999997">
      <c r="A1612" s="6">
        <v>43425.440925925926</v>
      </c>
      <c r="B1612" s="7" t="str">
        <f>HYPERLINK("https://twitter.com/PdeSamos","@PdeSamos")</f>
        <v>@PdeSamos</v>
      </c>
      <c r="C1612" s="8" t="s">
        <v>3877</v>
      </c>
      <c r="D1612" s="9" t="s">
        <v>6956</v>
      </c>
      <c r="E1612" s="10" t="str">
        <f>HYPERLINK("https://twitter.com/PdeSamos/status/1065312623078637568","1065312623078637568")</f>
        <v>1065312623078637568</v>
      </c>
      <c r="F1612" s="14" t="s">
        <v>6957</v>
      </c>
      <c r="G1612" s="11"/>
      <c r="H1612" s="11"/>
      <c r="I1612" s="12">
        <v>0</v>
      </c>
      <c r="J1612" s="12">
        <v>0</v>
      </c>
      <c r="K1612" s="13" t="str">
        <f>HYPERLINK("http://republico.ddns.net","App Libertad PdeSamos")</f>
        <v>App Libertad PdeSamos</v>
      </c>
      <c r="L1612" s="12">
        <v>5283</v>
      </c>
      <c r="M1612" s="12">
        <v>5301</v>
      </c>
      <c r="N1612" s="12">
        <v>12</v>
      </c>
      <c r="O1612" s="15"/>
      <c r="P1612" s="6">
        <v>42889.445567129631</v>
      </c>
      <c r="Q1612" s="16" t="s">
        <v>3881</v>
      </c>
      <c r="R1612" s="17" t="s">
        <v>3882</v>
      </c>
      <c r="S1612" s="11"/>
      <c r="T1612" s="11"/>
      <c r="U1612" s="10" t="str">
        <f>HYPERLINK("https://pbs.twimg.com/profile_images/871063742003511296/xK2IYbrO.jpg","View")</f>
        <v>View</v>
      </c>
    </row>
    <row r="1613" spans="1:21" ht="102">
      <c r="A1613" s="6">
        <v>43425.43850694444</v>
      </c>
      <c r="B1613" s="7" t="str">
        <f>HYPERLINK("https://twitter.com/Dadorelguapo","@Dadorelguapo")</f>
        <v>@Dadorelguapo</v>
      </c>
      <c r="C1613" s="8" t="s">
        <v>6958</v>
      </c>
      <c r="D1613" s="9" t="s">
        <v>6959</v>
      </c>
      <c r="E1613" s="10" t="str">
        <f>HYPERLINK("https://twitter.com/Dadorelguapo/status/1065311746112524288","1065311746112524288")</f>
        <v>1065311746112524288</v>
      </c>
      <c r="F1613" s="14" t="s">
        <v>3662</v>
      </c>
      <c r="G1613" s="11"/>
      <c r="H1613" s="11"/>
      <c r="I1613" s="12">
        <v>1</v>
      </c>
      <c r="J1613" s="12">
        <v>0</v>
      </c>
      <c r="K1613" s="13" t="str">
        <f>HYPERLINK("http://twitter.com/download/android","Twitter for Android")</f>
        <v>Twitter for Android</v>
      </c>
      <c r="L1613" s="12">
        <v>1515</v>
      </c>
      <c r="M1613" s="12">
        <v>1707</v>
      </c>
      <c r="N1613" s="12">
        <v>23</v>
      </c>
      <c r="O1613" s="15"/>
      <c r="P1613" s="6">
        <v>42364.586585648147</v>
      </c>
      <c r="Q1613" s="11"/>
      <c r="R1613" s="17" t="s">
        <v>6960</v>
      </c>
      <c r="S1613" s="11"/>
      <c r="T1613" s="11"/>
      <c r="U1613" s="10" t="str">
        <f>HYPERLINK("https://pbs.twimg.com/profile_images/1017071201036984320/bPE99XJg.jpg","View")</f>
        <v>View</v>
      </c>
    </row>
    <row r="1614" spans="1:21" ht="61.2">
      <c r="A1614" s="6">
        <v>43425.437546296293</v>
      </c>
      <c r="B1614" s="7" t="str">
        <f>HYPERLINK("https://twitter.com/LosVirusOficial","@LosVirusOficial")</f>
        <v>@LosVirusOficial</v>
      </c>
      <c r="C1614" s="8" t="s">
        <v>3790</v>
      </c>
      <c r="D1614" s="9" t="s">
        <v>3791</v>
      </c>
      <c r="E1614" s="10" t="str">
        <f>HYPERLINK("https://twitter.com/LosVirusOficial/status/1065311398903906305","1065311398903906305")</f>
        <v>1065311398903906305</v>
      </c>
      <c r="F1614" s="14" t="s">
        <v>3793</v>
      </c>
      <c r="G1614" s="11"/>
      <c r="H1614" s="11"/>
      <c r="I1614" s="12">
        <v>0</v>
      </c>
      <c r="J1614" s="12">
        <v>0</v>
      </c>
      <c r="K1614" s="13" t="str">
        <f t="shared" ref="K1614:K1616" si="336">HYPERLINK("http://twitter.com","Twitter Web Client")</f>
        <v>Twitter Web Client</v>
      </c>
      <c r="L1614" s="12">
        <v>4890</v>
      </c>
      <c r="M1614" s="12">
        <v>562</v>
      </c>
      <c r="N1614" s="12">
        <v>25</v>
      </c>
      <c r="O1614" s="15"/>
      <c r="P1614" s="6">
        <v>40457.668217592596</v>
      </c>
      <c r="Q1614" s="16" t="s">
        <v>3794</v>
      </c>
      <c r="R1614" s="17" t="s">
        <v>3795</v>
      </c>
      <c r="S1614" s="14" t="s">
        <v>3796</v>
      </c>
      <c r="T1614" s="11"/>
      <c r="U1614" s="10" t="str">
        <f>HYPERLINK("https://pbs.twimg.com/profile_images/716770080202293248/W_86jV-R.jpg","View")</f>
        <v>View</v>
      </c>
    </row>
    <row r="1615" spans="1:21" ht="40.799999999999997">
      <c r="A1615" s="6">
        <v>43425.435949074075</v>
      </c>
      <c r="B1615" s="7" t="str">
        <f>HYPERLINK("https://twitter.com/AbaloneOrtega","@AbaloneOrtega")</f>
        <v>@AbaloneOrtega</v>
      </c>
      <c r="C1615" s="8" t="s">
        <v>6835</v>
      </c>
      <c r="D1615" s="9" t="s">
        <v>6961</v>
      </c>
      <c r="E1615" s="10" t="str">
        <f>HYPERLINK("https://twitter.com/AbaloneOrtega/status/1065310818164707329","1065310818164707329")</f>
        <v>1065310818164707329</v>
      </c>
      <c r="F1615" s="11"/>
      <c r="G1615" s="11"/>
      <c r="H1615" s="11"/>
      <c r="I1615" s="12">
        <v>9</v>
      </c>
      <c r="J1615" s="12">
        <v>11</v>
      </c>
      <c r="K1615" s="13" t="str">
        <f t="shared" si="336"/>
        <v>Twitter Web Client</v>
      </c>
      <c r="L1615" s="12">
        <v>4680</v>
      </c>
      <c r="M1615" s="12">
        <v>3694</v>
      </c>
      <c r="N1615" s="12">
        <v>51</v>
      </c>
      <c r="O1615" s="15"/>
      <c r="P1615" s="6">
        <v>41249.511354166665</v>
      </c>
      <c r="Q1615" s="11"/>
      <c r="R1615" s="17" t="s">
        <v>6837</v>
      </c>
      <c r="S1615" s="11"/>
      <c r="T1615" s="11"/>
      <c r="U1615" s="10" t="str">
        <f>HYPERLINK("https://pbs.twimg.com/profile_images/759803574951915524/50ydJhOx.jpg","View")</f>
        <v>View</v>
      </c>
    </row>
    <row r="1616" spans="1:21" ht="20.399999999999999">
      <c r="A1616" s="6">
        <v>43425.435891203699</v>
      </c>
      <c r="B1616" s="7" t="str">
        <f>HYPERLINK("https://twitter.com/dlaj1957","@dlaj1957")</f>
        <v>@dlaj1957</v>
      </c>
      <c r="C1616" s="8" t="s">
        <v>6962</v>
      </c>
      <c r="D1616" s="9" t="s">
        <v>6963</v>
      </c>
      <c r="E1616" s="10" t="str">
        <f>HYPERLINK("https://twitter.com/dlaj1957/status/1065310796861906944","1065310796861906944")</f>
        <v>1065310796861906944</v>
      </c>
      <c r="F1616" s="14" t="s">
        <v>6119</v>
      </c>
      <c r="G1616" s="11"/>
      <c r="H1616" s="11"/>
      <c r="I1616" s="12">
        <v>0</v>
      </c>
      <c r="J1616" s="12">
        <v>0</v>
      </c>
      <c r="K1616" s="13" t="str">
        <f t="shared" si="336"/>
        <v>Twitter Web Client</v>
      </c>
      <c r="L1616" s="12">
        <v>396</v>
      </c>
      <c r="M1616" s="12">
        <v>1335</v>
      </c>
      <c r="N1616" s="12">
        <v>5</v>
      </c>
      <c r="O1616" s="15"/>
      <c r="P1616" s="6">
        <v>41315.397245370368</v>
      </c>
      <c r="Q1616" s="11"/>
      <c r="R1616" s="19"/>
      <c r="S1616" s="11"/>
      <c r="T1616" s="11"/>
      <c r="U1616" s="10" t="str">
        <f>HYPERLINK("https://pbs.twimg.com/profile_images/587327980231340033/YO-9vIFD.jpg","View")</f>
        <v>View</v>
      </c>
    </row>
    <row r="1617" spans="1:21" ht="40.799999999999997">
      <c r="A1617" s="6">
        <v>43425.435752314814</v>
      </c>
      <c r="B1617" s="7" t="str">
        <f>HYPERLINK("https://twitter.com/PorLaIII","@PorLaIII")</f>
        <v>@PorLaIII</v>
      </c>
      <c r="C1617" s="8" t="s">
        <v>3797</v>
      </c>
      <c r="D1617" s="9" t="s">
        <v>3798</v>
      </c>
      <c r="E1617" s="10" t="str">
        <f>HYPERLINK("https://twitter.com/PorLaIII/status/1065310749080342529","1065310749080342529")</f>
        <v>1065310749080342529</v>
      </c>
      <c r="F1617" s="11"/>
      <c r="G1617" s="14" t="s">
        <v>3799</v>
      </c>
      <c r="H1617" s="11"/>
      <c r="I1617" s="12">
        <v>8</v>
      </c>
      <c r="J1617" s="12">
        <v>5</v>
      </c>
      <c r="K1617" s="13" t="str">
        <f t="shared" ref="K1617:K1628" si="337">HYPERLINK("https://about.twitter.com/products/tweetdeck","TweetDeck")</f>
        <v>TweetDeck</v>
      </c>
      <c r="L1617" s="12">
        <v>797</v>
      </c>
      <c r="M1617" s="12">
        <v>758</v>
      </c>
      <c r="N1617" s="12">
        <v>3</v>
      </c>
      <c r="O1617" s="15"/>
      <c r="P1617" s="6">
        <v>43286.390451388885</v>
      </c>
      <c r="Q1617" s="16" t="s">
        <v>2930</v>
      </c>
      <c r="R1617" s="17" t="s">
        <v>3800</v>
      </c>
      <c r="S1617" s="11"/>
      <c r="T1617" s="11"/>
      <c r="U1617" s="10" t="str">
        <f>HYPERLINK("https://pbs.twimg.com/profile_images/1023956287573422080/M8pxXuzw.jpg","View")</f>
        <v>View</v>
      </c>
    </row>
    <row r="1618" spans="1:21" ht="40.799999999999997">
      <c r="A1618" s="6">
        <v>43425.435729166667</v>
      </c>
      <c r="B1618" s="7" t="str">
        <f>HYPERLINK("https://twitter.com/Pariasdlatierra","@Pariasdlatierra")</f>
        <v>@Pariasdlatierra</v>
      </c>
      <c r="C1618" s="8" t="s">
        <v>3801</v>
      </c>
      <c r="D1618" s="9" t="s">
        <v>3798</v>
      </c>
      <c r="E1618" s="10" t="str">
        <f>HYPERLINK("https://twitter.com/Pariasdlatierra/status/1065310740242935809","1065310740242935809")</f>
        <v>1065310740242935809</v>
      </c>
      <c r="F1618" s="11"/>
      <c r="G1618" s="14" t="s">
        <v>3802</v>
      </c>
      <c r="H1618" s="11"/>
      <c r="I1618" s="12">
        <v>1</v>
      </c>
      <c r="J1618" s="12">
        <v>1</v>
      </c>
      <c r="K1618" s="13" t="str">
        <f t="shared" si="337"/>
        <v>TweetDeck</v>
      </c>
      <c r="L1618" s="12">
        <v>3674</v>
      </c>
      <c r="M1618" s="12">
        <v>3482</v>
      </c>
      <c r="N1618" s="12">
        <v>37</v>
      </c>
      <c r="O1618" s="15"/>
      <c r="P1618" s="6">
        <v>41055.392384259263</v>
      </c>
      <c r="Q1618" s="16" t="s">
        <v>3803</v>
      </c>
      <c r="R1618" s="17" t="s">
        <v>3804</v>
      </c>
      <c r="S1618" s="14" t="s">
        <v>3805</v>
      </c>
      <c r="T1618" s="11"/>
      <c r="U1618" s="10" t="str">
        <f>HYPERLINK("https://pbs.twimg.com/profile_images/2254212162/pariasdlatierra.gif","View")</f>
        <v>View</v>
      </c>
    </row>
    <row r="1619" spans="1:21" ht="40.799999999999997">
      <c r="A1619" s="6">
        <v>43425.435706018514</v>
      </c>
      <c r="B1619" s="7" t="str">
        <f>HYPERLINK("https://twitter.com/MiercolesRepubl","@MiercolesRepubl")</f>
        <v>@MiercolesRepubl</v>
      </c>
      <c r="C1619" s="8" t="s">
        <v>3806</v>
      </c>
      <c r="D1619" s="9" t="s">
        <v>3798</v>
      </c>
      <c r="E1619" s="10" t="str">
        <f>HYPERLINK("https://twitter.com/MiercolesRepubl/status/1065310730575056905","1065310730575056905")</f>
        <v>1065310730575056905</v>
      </c>
      <c r="F1619" s="11"/>
      <c r="G1619" s="14" t="s">
        <v>3807</v>
      </c>
      <c r="H1619" s="11"/>
      <c r="I1619" s="12">
        <v>1</v>
      </c>
      <c r="J1619" s="12">
        <v>1</v>
      </c>
      <c r="K1619" s="13" t="str">
        <f t="shared" si="337"/>
        <v>TweetDeck</v>
      </c>
      <c r="L1619" s="12">
        <v>13821</v>
      </c>
      <c r="M1619" s="12">
        <v>8869</v>
      </c>
      <c r="N1619" s="12">
        <v>74</v>
      </c>
      <c r="O1619" s="15"/>
      <c r="P1619" s="6">
        <v>42483.267164351855</v>
      </c>
      <c r="Q1619" s="16" t="s">
        <v>2930</v>
      </c>
      <c r="R1619" s="17" t="s">
        <v>3808</v>
      </c>
      <c r="S1619" s="14" t="s">
        <v>3809</v>
      </c>
      <c r="T1619" s="11"/>
      <c r="U1619" s="10" t="str">
        <f>HYPERLINK("https://pbs.twimg.com/profile_images/1048987745820069888/kXHZim2c.jpg","View")</f>
        <v>View</v>
      </c>
    </row>
    <row r="1620" spans="1:21" ht="40.799999999999997">
      <c r="A1620" s="6">
        <v>43425.435671296298</v>
      </c>
      <c r="B1620" s="7" t="str">
        <f>HYPERLINK("https://twitter.com/MiercolesRepub5","@MiercolesRepub5")</f>
        <v>@MiercolesRepub5</v>
      </c>
      <c r="C1620" s="8" t="s">
        <v>3810</v>
      </c>
      <c r="D1620" s="9" t="s">
        <v>3798</v>
      </c>
      <c r="E1620" s="10" t="str">
        <f>HYPERLINK("https://twitter.com/MiercolesRepub5/status/1065310720093491201","1065310720093491201")</f>
        <v>1065310720093491201</v>
      </c>
      <c r="F1620" s="11"/>
      <c r="G1620" s="14" t="s">
        <v>3811</v>
      </c>
      <c r="H1620" s="11"/>
      <c r="I1620" s="12">
        <v>0</v>
      </c>
      <c r="J1620" s="12">
        <v>0</v>
      </c>
      <c r="K1620" s="13" t="str">
        <f t="shared" si="337"/>
        <v>TweetDeck</v>
      </c>
      <c r="L1620" s="12">
        <v>94</v>
      </c>
      <c r="M1620" s="12">
        <v>81</v>
      </c>
      <c r="N1620" s="12">
        <v>1</v>
      </c>
      <c r="O1620" s="15"/>
      <c r="P1620" s="6">
        <v>43376.112349537041</v>
      </c>
      <c r="Q1620" s="11"/>
      <c r="R1620" s="17" t="s">
        <v>3812</v>
      </c>
      <c r="S1620" s="11"/>
      <c r="T1620" s="11"/>
      <c r="U1620" s="10" t="str">
        <f>HYPERLINK("https://pbs.twimg.com/profile_images/1047421839499296768/s1c7y5kc.jpg","View")</f>
        <v>View</v>
      </c>
    </row>
    <row r="1621" spans="1:21" ht="40.799999999999997">
      <c r="A1621" s="6">
        <v>43425.435648148152</v>
      </c>
      <c r="B1621" s="7" t="str">
        <f>HYPERLINK("https://twitter.com/MiercolesRepub2","@MiercolesRepub2")</f>
        <v>@MiercolesRepub2</v>
      </c>
      <c r="C1621" s="8" t="s">
        <v>3813</v>
      </c>
      <c r="D1621" s="9" t="s">
        <v>3798</v>
      </c>
      <c r="E1621" s="10" t="str">
        <f>HYPERLINK("https://twitter.com/MiercolesRepub2/status/1065310709624508416","1065310709624508416")</f>
        <v>1065310709624508416</v>
      </c>
      <c r="F1621" s="11"/>
      <c r="G1621" s="14" t="s">
        <v>3814</v>
      </c>
      <c r="H1621" s="11"/>
      <c r="I1621" s="12">
        <v>0</v>
      </c>
      <c r="J1621" s="12">
        <v>0</v>
      </c>
      <c r="K1621" s="13" t="str">
        <f t="shared" si="337"/>
        <v>TweetDeck</v>
      </c>
      <c r="L1621" s="12">
        <v>161</v>
      </c>
      <c r="M1621" s="12">
        <v>135</v>
      </c>
      <c r="N1621" s="12">
        <v>1</v>
      </c>
      <c r="O1621" s="15"/>
      <c r="P1621" s="6">
        <v>43373.476319444446</v>
      </c>
      <c r="Q1621" s="11"/>
      <c r="R1621" s="17" t="s">
        <v>3812</v>
      </c>
      <c r="S1621" s="11"/>
      <c r="T1621" s="11"/>
      <c r="U1621" s="10" t="str">
        <f>HYPERLINK("https://pbs.twimg.com/profile_images/1046472755619794945/3SH3de_6.jpg","View")</f>
        <v>View</v>
      </c>
    </row>
    <row r="1622" spans="1:21" ht="40.799999999999997">
      <c r="A1622" s="6">
        <v>43425.435613425929</v>
      </c>
      <c r="B1622" s="7" t="str">
        <f t="shared" ref="B1622:B1623" si="338">HYPERLINK("https://twitter.com/Famelica_legion","@Famelica_legion")</f>
        <v>@Famelica_legion</v>
      </c>
      <c r="C1622" s="8" t="s">
        <v>3818</v>
      </c>
      <c r="D1622" s="9" t="s">
        <v>3798</v>
      </c>
      <c r="E1622" s="10" t="str">
        <f>HYPERLINK("https://twitter.com/Famelica_legion/status/1065310698182451200","1065310698182451200")</f>
        <v>1065310698182451200</v>
      </c>
      <c r="F1622" s="11"/>
      <c r="G1622" s="14" t="s">
        <v>3822</v>
      </c>
      <c r="H1622" s="11"/>
      <c r="I1622" s="12">
        <v>5</v>
      </c>
      <c r="J1622" s="12">
        <v>3</v>
      </c>
      <c r="K1622" s="13" t="str">
        <f t="shared" si="337"/>
        <v>TweetDeck</v>
      </c>
      <c r="L1622" s="12">
        <v>57298</v>
      </c>
      <c r="M1622" s="12">
        <v>34716</v>
      </c>
      <c r="N1622" s="12">
        <v>364</v>
      </c>
      <c r="O1622" s="15"/>
      <c r="P1622" s="6">
        <v>40999.226747685185</v>
      </c>
      <c r="Q1622" s="11"/>
      <c r="R1622" s="17" t="s">
        <v>3823</v>
      </c>
      <c r="S1622" s="14" t="s">
        <v>3825</v>
      </c>
      <c r="T1622" s="11"/>
      <c r="U1622" s="10" t="str">
        <f t="shared" ref="U1622:U1623" si="339">HYPERLINK("https://pbs.twimg.com/profile_images/875403697219620865/ni6ZDU-O.jpg","View")</f>
        <v>View</v>
      </c>
    </row>
    <row r="1623" spans="1:21" ht="40.799999999999997">
      <c r="A1623" s="6">
        <v>43425.434629629628</v>
      </c>
      <c r="B1623" s="7" t="str">
        <f t="shared" si="338"/>
        <v>@Famelica_legion</v>
      </c>
      <c r="C1623" s="8" t="s">
        <v>3818</v>
      </c>
      <c r="D1623" s="9" t="s">
        <v>3829</v>
      </c>
      <c r="E1623" s="10" t="str">
        <f>HYPERLINK("https://twitter.com/Famelica_legion/status/1065310342580973568","1065310342580973568")</f>
        <v>1065310342580973568</v>
      </c>
      <c r="F1623" s="11"/>
      <c r="G1623" s="14" t="s">
        <v>3830</v>
      </c>
      <c r="H1623" s="11"/>
      <c r="I1623" s="12">
        <v>6</v>
      </c>
      <c r="J1623" s="12">
        <v>14</v>
      </c>
      <c r="K1623" s="13" t="str">
        <f t="shared" si="337"/>
        <v>TweetDeck</v>
      </c>
      <c r="L1623" s="12">
        <v>57298</v>
      </c>
      <c r="M1623" s="12">
        <v>34716</v>
      </c>
      <c r="N1623" s="12">
        <v>364</v>
      </c>
      <c r="O1623" s="15"/>
      <c r="P1623" s="6">
        <v>40999.226747685185</v>
      </c>
      <c r="Q1623" s="11"/>
      <c r="R1623" s="17" t="s">
        <v>3823</v>
      </c>
      <c r="S1623" s="14" t="s">
        <v>3825</v>
      </c>
      <c r="T1623" s="11"/>
      <c r="U1623" s="10" t="str">
        <f t="shared" si="339"/>
        <v>View</v>
      </c>
    </row>
    <row r="1624" spans="1:21" ht="40.799999999999997">
      <c r="A1624" s="6">
        <v>43425.434606481482</v>
      </c>
      <c r="B1624" s="7" t="str">
        <f>HYPERLINK("https://twitter.com/MiercolesRepub2","@MiercolesRepub2")</f>
        <v>@MiercolesRepub2</v>
      </c>
      <c r="C1624" s="8" t="s">
        <v>3813</v>
      </c>
      <c r="D1624" s="9" t="s">
        <v>3829</v>
      </c>
      <c r="E1624" s="10" t="str">
        <f>HYPERLINK("https://twitter.com/MiercolesRepub2/status/1065310331017277440","1065310331017277440")</f>
        <v>1065310331017277440</v>
      </c>
      <c r="F1624" s="11"/>
      <c r="G1624" s="14" t="s">
        <v>3835</v>
      </c>
      <c r="H1624" s="11"/>
      <c r="I1624" s="12">
        <v>0</v>
      </c>
      <c r="J1624" s="12">
        <v>0</v>
      </c>
      <c r="K1624" s="13" t="str">
        <f t="shared" si="337"/>
        <v>TweetDeck</v>
      </c>
      <c r="L1624" s="12">
        <v>161</v>
      </c>
      <c r="M1624" s="12">
        <v>135</v>
      </c>
      <c r="N1624" s="12">
        <v>1</v>
      </c>
      <c r="O1624" s="15"/>
      <c r="P1624" s="6">
        <v>43373.476319444446</v>
      </c>
      <c r="Q1624" s="11"/>
      <c r="R1624" s="17" t="s">
        <v>3812</v>
      </c>
      <c r="S1624" s="11"/>
      <c r="T1624" s="11"/>
      <c r="U1624" s="10" t="str">
        <f>HYPERLINK("https://pbs.twimg.com/profile_images/1046472755619794945/3SH3de_6.jpg","View")</f>
        <v>View</v>
      </c>
    </row>
    <row r="1625" spans="1:21" ht="40.799999999999997">
      <c r="A1625" s="6">
        <v>43425.434571759259</v>
      </c>
      <c r="B1625" s="7" t="str">
        <f>HYPERLINK("https://twitter.com/MiercolesRepub5","@MiercolesRepub5")</f>
        <v>@MiercolesRepub5</v>
      </c>
      <c r="C1625" s="8" t="s">
        <v>3810</v>
      </c>
      <c r="D1625" s="9" t="s">
        <v>3829</v>
      </c>
      <c r="E1625" s="10" t="str">
        <f>HYPERLINK("https://twitter.com/MiercolesRepub5/status/1065310320569303040","1065310320569303040")</f>
        <v>1065310320569303040</v>
      </c>
      <c r="F1625" s="11"/>
      <c r="G1625" s="14" t="s">
        <v>3838</v>
      </c>
      <c r="H1625" s="11"/>
      <c r="I1625" s="12">
        <v>0</v>
      </c>
      <c r="J1625" s="12">
        <v>0</v>
      </c>
      <c r="K1625" s="13" t="str">
        <f t="shared" si="337"/>
        <v>TweetDeck</v>
      </c>
      <c r="L1625" s="12">
        <v>94</v>
      </c>
      <c r="M1625" s="12">
        <v>81</v>
      </c>
      <c r="N1625" s="12">
        <v>1</v>
      </c>
      <c r="O1625" s="15"/>
      <c r="P1625" s="6">
        <v>43376.112349537041</v>
      </c>
      <c r="Q1625" s="11"/>
      <c r="R1625" s="17" t="s">
        <v>3812</v>
      </c>
      <c r="S1625" s="11"/>
      <c r="T1625" s="11"/>
      <c r="U1625" s="10" t="str">
        <f>HYPERLINK("https://pbs.twimg.com/profile_images/1047421839499296768/s1c7y5kc.jpg","View")</f>
        <v>View</v>
      </c>
    </row>
    <row r="1626" spans="1:21" ht="40.799999999999997">
      <c r="A1626" s="6">
        <v>43425.434548611112</v>
      </c>
      <c r="B1626" s="7" t="str">
        <f>HYPERLINK("https://twitter.com/MiercolesRepubl","@MiercolesRepubl")</f>
        <v>@MiercolesRepubl</v>
      </c>
      <c r="C1626" s="8" t="s">
        <v>3806</v>
      </c>
      <c r="D1626" s="9" t="s">
        <v>3829</v>
      </c>
      <c r="E1626" s="10" t="str">
        <f>HYPERLINK("https://twitter.com/MiercolesRepubl/status/1065310310221967360","1065310310221967360")</f>
        <v>1065310310221967360</v>
      </c>
      <c r="F1626" s="11"/>
      <c r="G1626" s="14" t="s">
        <v>3839</v>
      </c>
      <c r="H1626" s="11"/>
      <c r="I1626" s="12">
        <v>0</v>
      </c>
      <c r="J1626" s="12">
        <v>0</v>
      </c>
      <c r="K1626" s="13" t="str">
        <f t="shared" si="337"/>
        <v>TweetDeck</v>
      </c>
      <c r="L1626" s="12">
        <v>13821</v>
      </c>
      <c r="M1626" s="12">
        <v>8869</v>
      </c>
      <c r="N1626" s="12">
        <v>74</v>
      </c>
      <c r="O1626" s="15"/>
      <c r="P1626" s="6">
        <v>42483.267164351855</v>
      </c>
      <c r="Q1626" s="16" t="s">
        <v>2930</v>
      </c>
      <c r="R1626" s="17" t="s">
        <v>3808</v>
      </c>
      <c r="S1626" s="14" t="s">
        <v>3809</v>
      </c>
      <c r="T1626" s="11"/>
      <c r="U1626" s="10" t="str">
        <f>HYPERLINK("https://pbs.twimg.com/profile_images/1048987745820069888/kXHZim2c.jpg","View")</f>
        <v>View</v>
      </c>
    </row>
    <row r="1627" spans="1:21" ht="40.799999999999997">
      <c r="A1627" s="6">
        <v>43425.434513888889</v>
      </c>
      <c r="B1627" s="7" t="str">
        <f>HYPERLINK("https://twitter.com/Pariasdlatierra","@Pariasdlatierra")</f>
        <v>@Pariasdlatierra</v>
      </c>
      <c r="C1627" s="8" t="s">
        <v>3801</v>
      </c>
      <c r="D1627" s="9" t="s">
        <v>3829</v>
      </c>
      <c r="E1627" s="10" t="str">
        <f>HYPERLINK("https://twitter.com/Pariasdlatierra/status/1065310299593601024","1065310299593601024")</f>
        <v>1065310299593601024</v>
      </c>
      <c r="F1627" s="11"/>
      <c r="G1627" s="14" t="s">
        <v>3844</v>
      </c>
      <c r="H1627" s="11"/>
      <c r="I1627" s="12">
        <v>0</v>
      </c>
      <c r="J1627" s="12">
        <v>0</v>
      </c>
      <c r="K1627" s="13" t="str">
        <f t="shared" si="337"/>
        <v>TweetDeck</v>
      </c>
      <c r="L1627" s="12">
        <v>3674</v>
      </c>
      <c r="M1627" s="12">
        <v>3482</v>
      </c>
      <c r="N1627" s="12">
        <v>37</v>
      </c>
      <c r="O1627" s="15"/>
      <c r="P1627" s="6">
        <v>41055.392384259263</v>
      </c>
      <c r="Q1627" s="16" t="s">
        <v>3803</v>
      </c>
      <c r="R1627" s="17" t="s">
        <v>3804</v>
      </c>
      <c r="S1627" s="14" t="s">
        <v>3805</v>
      </c>
      <c r="T1627" s="11"/>
      <c r="U1627" s="10" t="str">
        <f>HYPERLINK("https://pbs.twimg.com/profile_images/2254212162/pariasdlatierra.gif","View")</f>
        <v>View</v>
      </c>
    </row>
    <row r="1628" spans="1:21" ht="40.799999999999997">
      <c r="A1628" s="6">
        <v>43425.434490740736</v>
      </c>
      <c r="B1628" s="7" t="str">
        <f>HYPERLINK("https://twitter.com/PorLaIII","@PorLaIII")</f>
        <v>@PorLaIII</v>
      </c>
      <c r="C1628" s="8" t="s">
        <v>3797</v>
      </c>
      <c r="D1628" s="9" t="s">
        <v>3829</v>
      </c>
      <c r="E1628" s="10" t="str">
        <f>HYPERLINK("https://twitter.com/PorLaIII/status/1065310289074315265","1065310289074315265")</f>
        <v>1065310289074315265</v>
      </c>
      <c r="F1628" s="11"/>
      <c r="G1628" s="14" t="s">
        <v>3847</v>
      </c>
      <c r="H1628" s="11"/>
      <c r="I1628" s="12">
        <v>1</v>
      </c>
      <c r="J1628" s="12">
        <v>2</v>
      </c>
      <c r="K1628" s="13" t="str">
        <f t="shared" si="337"/>
        <v>TweetDeck</v>
      </c>
      <c r="L1628" s="12">
        <v>797</v>
      </c>
      <c r="M1628" s="12">
        <v>758</v>
      </c>
      <c r="N1628" s="12">
        <v>3</v>
      </c>
      <c r="O1628" s="15"/>
      <c r="P1628" s="6">
        <v>43286.390451388885</v>
      </c>
      <c r="Q1628" s="16" t="s">
        <v>2930</v>
      </c>
      <c r="R1628" s="17" t="s">
        <v>3800</v>
      </c>
      <c r="S1628" s="11"/>
      <c r="T1628" s="11"/>
      <c r="U1628" s="10" t="str">
        <f>HYPERLINK("https://pbs.twimg.com/profile_images/1023956287573422080/M8pxXuzw.jpg","View")</f>
        <v>View</v>
      </c>
    </row>
    <row r="1629" spans="1:21" ht="30.6">
      <c r="A1629" s="6">
        <v>43425.434236111112</v>
      </c>
      <c r="B1629" s="7" t="str">
        <f>HYPERLINK("https://twitter.com/chemadiago","@chemadiago")</f>
        <v>@chemadiago</v>
      </c>
      <c r="C1629" s="8" t="s">
        <v>6966</v>
      </c>
      <c r="D1629" s="9" t="s">
        <v>6967</v>
      </c>
      <c r="E1629" s="10" t="str">
        <f>HYPERLINK("https://twitter.com/chemadiago/status/1065310197772681216","1065310197772681216")</f>
        <v>1065310197772681216</v>
      </c>
      <c r="F1629" s="14" t="s">
        <v>6968</v>
      </c>
      <c r="G1629" s="11"/>
      <c r="H1629" s="11"/>
      <c r="I1629" s="12">
        <v>0</v>
      </c>
      <c r="J1629" s="12">
        <v>0</v>
      </c>
      <c r="K1629" s="13" t="str">
        <f>HYPERLINK("http://twitter.com/download/android","Twitter for Android")</f>
        <v>Twitter for Android</v>
      </c>
      <c r="L1629" s="12">
        <v>447</v>
      </c>
      <c r="M1629" s="12">
        <v>544</v>
      </c>
      <c r="N1629" s="12">
        <v>3</v>
      </c>
      <c r="O1629" s="15"/>
      <c r="P1629" s="6">
        <v>40936.141747685186</v>
      </c>
      <c r="Q1629" s="11"/>
      <c r="R1629" s="17" t="s">
        <v>6969</v>
      </c>
      <c r="S1629" s="11"/>
      <c r="T1629" s="11"/>
      <c r="U1629" s="10" t="str">
        <f>HYPERLINK("https://pbs.twimg.com/profile_images/919208562714439680/BZepqKfQ.jpg","View")</f>
        <v>View</v>
      </c>
    </row>
    <row r="1630" spans="1:21" ht="81.599999999999994">
      <c r="A1630" s="6">
        <v>43425.433715277773</v>
      </c>
      <c r="B1630" s="7" t="str">
        <f>HYPERLINK("https://twitter.com/CortinaDeNube","@CortinaDeNube")</f>
        <v>@CortinaDeNube</v>
      </c>
      <c r="C1630" s="8" t="s">
        <v>6970</v>
      </c>
      <c r="D1630" s="9" t="s">
        <v>6971</v>
      </c>
      <c r="E1630" s="10" t="str">
        <f>HYPERLINK("https://twitter.com/CortinaDeNube/status/1065310009431486464","1065310009431486464")</f>
        <v>1065310009431486464</v>
      </c>
      <c r="F1630" s="14" t="s">
        <v>6972</v>
      </c>
      <c r="G1630" s="14" t="s">
        <v>6973</v>
      </c>
      <c r="H1630" s="11"/>
      <c r="I1630" s="12">
        <v>0</v>
      </c>
      <c r="J1630" s="12">
        <v>0</v>
      </c>
      <c r="K1630" s="13" t="str">
        <f>HYPERLINK("http://twitter.com","Twitter Web Client")</f>
        <v>Twitter Web Client</v>
      </c>
      <c r="L1630" s="12">
        <v>1250</v>
      </c>
      <c r="M1630" s="12">
        <v>2484</v>
      </c>
      <c r="N1630" s="12">
        <v>11</v>
      </c>
      <c r="O1630" s="15"/>
      <c r="P1630" s="6">
        <v>41696.766481481478</v>
      </c>
      <c r="Q1630" s="11"/>
      <c r="R1630" s="17" t="s">
        <v>6974</v>
      </c>
      <c r="S1630" s="11"/>
      <c r="T1630" s="11"/>
      <c r="U1630" s="10" t="str">
        <f>HYPERLINK("https://pbs.twimg.com/profile_images/784652851486175232/L6rKGvaS.jpg","View")</f>
        <v>View</v>
      </c>
    </row>
    <row r="1631" spans="1:21" ht="30.6">
      <c r="A1631" s="6">
        <v>43425.4294212963</v>
      </c>
      <c r="B1631" s="7" t="str">
        <f>HYPERLINK("https://twitter.com/paisdeimputados","@paisdeimputados")</f>
        <v>@paisdeimputados</v>
      </c>
      <c r="C1631" s="8" t="s">
        <v>2828</v>
      </c>
      <c r="D1631" s="9" t="s">
        <v>6975</v>
      </c>
      <c r="E1631" s="10" t="str">
        <f>HYPERLINK("https://twitter.com/paisdeimputados/status/1065308452535377920","1065308452535377920")</f>
        <v>1065308452535377920</v>
      </c>
      <c r="F1631" s="11"/>
      <c r="G1631" s="11"/>
      <c r="H1631" s="11"/>
      <c r="I1631" s="12">
        <v>0</v>
      </c>
      <c r="J1631" s="12">
        <v>1</v>
      </c>
      <c r="K1631" s="13" t="str">
        <f>HYPERLINK("http://twitter.com/download/android","Twitter for Android")</f>
        <v>Twitter for Android</v>
      </c>
      <c r="L1631" s="12">
        <v>1013</v>
      </c>
      <c r="M1631" s="12">
        <v>400</v>
      </c>
      <c r="N1631" s="12">
        <v>6</v>
      </c>
      <c r="O1631" s="15"/>
      <c r="P1631" s="6">
        <v>42296.934988425928</v>
      </c>
      <c r="Q1631" s="16" t="s">
        <v>406</v>
      </c>
      <c r="R1631" s="19"/>
      <c r="S1631" s="11"/>
      <c r="T1631" s="11"/>
      <c r="U1631" s="10" t="str">
        <f>HYPERLINK("https://pbs.twimg.com/profile_images/1028397001686360064/ENPkvpt6.jpg","View")</f>
        <v>View</v>
      </c>
    </row>
    <row r="1632" spans="1:21" ht="40.799999999999997">
      <c r="A1632" s="6">
        <v>43425.424305555556</v>
      </c>
      <c r="B1632" s="7" t="str">
        <f>HYPERLINK("https://twitter.com/tuerka_ovt","@tuerka_ovt")</f>
        <v>@tuerka_ovt</v>
      </c>
      <c r="C1632" s="8" t="s">
        <v>4269</v>
      </c>
      <c r="D1632" s="9" t="s">
        <v>6976</v>
      </c>
      <c r="E1632" s="10" t="str">
        <f>HYPERLINK("https://twitter.com/tuerka_ovt/status/1065306599235903488","1065306599235903488")</f>
        <v>1065306599235903488</v>
      </c>
      <c r="F1632" s="14" t="s">
        <v>6977</v>
      </c>
      <c r="G1632" s="11"/>
      <c r="H1632" s="11"/>
      <c r="I1632" s="12">
        <v>1</v>
      </c>
      <c r="J1632" s="12">
        <v>2</v>
      </c>
      <c r="K1632" s="13" t="str">
        <f>HYPERLINK("https://about.twitter.com/products/tweetdeck","TweetDeck")</f>
        <v>TweetDeck</v>
      </c>
      <c r="L1632" s="12">
        <v>178771</v>
      </c>
      <c r="M1632" s="12">
        <v>8390</v>
      </c>
      <c r="N1632" s="12">
        <v>1899</v>
      </c>
      <c r="O1632" s="15"/>
      <c r="P1632" s="6">
        <v>40496.424328703702</v>
      </c>
      <c r="Q1632" s="16" t="s">
        <v>38</v>
      </c>
      <c r="R1632" s="17" t="s">
        <v>4274</v>
      </c>
      <c r="S1632" s="11"/>
      <c r="T1632" s="11"/>
      <c r="U1632" s="10" t="str">
        <f>HYPERLINK("https://pbs.twimg.com/profile_images/974345759188504580/InpH7cQq.jpg","View")</f>
        <v>View</v>
      </c>
    </row>
    <row r="1633" spans="1:21" ht="51">
      <c r="A1633" s="6">
        <v>43425.422743055555</v>
      </c>
      <c r="B1633" s="7" t="str">
        <f>HYPERLINK("https://twitter.com/L44castilla","@L44castilla")</f>
        <v>@L44castilla</v>
      </c>
      <c r="C1633" s="8" t="s">
        <v>6978</v>
      </c>
      <c r="D1633" s="9" t="s">
        <v>6979</v>
      </c>
      <c r="E1633" s="10" t="str">
        <f>HYPERLINK("https://twitter.com/L44castilla/status/1065306033042726915","1065306033042726915")</f>
        <v>1065306033042726915</v>
      </c>
      <c r="F1633" s="11"/>
      <c r="G1633" s="14" t="s">
        <v>6980</v>
      </c>
      <c r="H1633" s="11"/>
      <c r="I1633" s="12">
        <v>1</v>
      </c>
      <c r="J1633" s="12">
        <v>1</v>
      </c>
      <c r="K1633" s="13" t="str">
        <f>HYPERLINK("http://twitter.com/download/android","Twitter for Android")</f>
        <v>Twitter for Android</v>
      </c>
      <c r="L1633" s="12">
        <v>3388</v>
      </c>
      <c r="M1633" s="12">
        <v>4882</v>
      </c>
      <c r="N1633" s="12">
        <v>17</v>
      </c>
      <c r="O1633" s="15"/>
      <c r="P1633" s="6">
        <v>40546.291168981479</v>
      </c>
      <c r="Q1633" s="11"/>
      <c r="R1633" s="17" t="s">
        <v>6981</v>
      </c>
      <c r="S1633" s="11"/>
      <c r="T1633" s="11"/>
      <c r="U1633" s="10" t="str">
        <f>HYPERLINK("https://pbs.twimg.com/profile_images/899028331714289665/Mip5yTwF.jpg","View")</f>
        <v>View</v>
      </c>
    </row>
    <row r="1634" spans="1:21" ht="81.599999999999994">
      <c r="A1634" s="6">
        <v>43425.421770833331</v>
      </c>
      <c r="B1634" s="7" t="str">
        <f>HYPERLINK("https://twitter.com/Jrmgonzalez","@Jrmgonzalez")</f>
        <v>@Jrmgonzalez</v>
      </c>
      <c r="C1634" s="8" t="s">
        <v>3850</v>
      </c>
      <c r="D1634" s="9" t="s">
        <v>3852</v>
      </c>
      <c r="E1634" s="10" t="str">
        <f>HYPERLINK("https://twitter.com/Jrmgonzalez/status/1065305683267063812","1065305683267063812")</f>
        <v>1065305683267063812</v>
      </c>
      <c r="F1634" s="14" t="s">
        <v>3853</v>
      </c>
      <c r="G1634" s="14" t="s">
        <v>3854</v>
      </c>
      <c r="H1634" s="11"/>
      <c r="I1634" s="12">
        <v>2</v>
      </c>
      <c r="J1634" s="12">
        <v>3</v>
      </c>
      <c r="K1634" s="13" t="str">
        <f>HYPERLINK("http://twitter.com/download/iphone","Twitter for iPhone")</f>
        <v>Twitter for iPhone</v>
      </c>
      <c r="L1634" s="12">
        <v>32</v>
      </c>
      <c r="M1634" s="12">
        <v>265</v>
      </c>
      <c r="N1634" s="12">
        <v>2</v>
      </c>
      <c r="O1634" s="15"/>
      <c r="P1634" s="6">
        <v>41696.188379629632</v>
      </c>
      <c r="Q1634" s="16" t="s">
        <v>3779</v>
      </c>
      <c r="R1634" s="17" t="s">
        <v>3858</v>
      </c>
      <c r="S1634" s="11"/>
      <c r="T1634" s="11"/>
      <c r="U1634" s="10" t="str">
        <f>HYPERLINK("https://pbs.twimg.com/profile_images/951188977960222721/P3ZmIVlt.jpg","View")</f>
        <v>View</v>
      </c>
    </row>
    <row r="1635" spans="1:21" ht="51">
      <c r="A1635" s="6">
        <v>43425.418819444443</v>
      </c>
      <c r="B1635" s="7" t="str">
        <f>HYPERLINK("https://twitter.com/PlazaPodemos","@PlazaPodemos")</f>
        <v>@PlazaPodemos</v>
      </c>
      <c r="C1635" s="8" t="s">
        <v>6982</v>
      </c>
      <c r="D1635" s="9" t="s">
        <v>6983</v>
      </c>
      <c r="E1635" s="10" t="str">
        <f>HYPERLINK("https://twitter.com/PlazaPodemos/status/1065304611328712704","1065304611328712704")</f>
        <v>1065304611328712704</v>
      </c>
      <c r="F1635" s="14" t="s">
        <v>6984</v>
      </c>
      <c r="G1635" s="14" t="s">
        <v>6985</v>
      </c>
      <c r="H1635" s="11"/>
      <c r="I1635" s="12">
        <v>1</v>
      </c>
      <c r="J1635" s="12">
        <v>2</v>
      </c>
      <c r="K1635" s="13" t="str">
        <f>HYPERLINK("https://dlvrit.com/","dlvr.it")</f>
        <v>dlvr.it</v>
      </c>
      <c r="L1635" s="12">
        <v>8567</v>
      </c>
      <c r="M1635" s="12">
        <v>788</v>
      </c>
      <c r="N1635" s="12">
        <v>113</v>
      </c>
      <c r="O1635" s="15"/>
      <c r="P1635" s="6">
        <v>41844.245671296296</v>
      </c>
      <c r="Q1635" s="11"/>
      <c r="R1635" s="17" t="s">
        <v>6986</v>
      </c>
      <c r="S1635" s="14" t="s">
        <v>6987</v>
      </c>
      <c r="T1635" s="11"/>
      <c r="U1635" s="10" t="str">
        <f>HYPERLINK("https://pbs.twimg.com/profile_images/809422028625346560/BFJc_1PV.jpg","View")</f>
        <v>View</v>
      </c>
    </row>
    <row r="1636" spans="1:21" ht="40.799999999999997">
      <c r="A1636" s="6">
        <v>43425.41805555555</v>
      </c>
      <c r="B1636" s="7" t="str">
        <f t="shared" ref="B1636:B1637" si="340">HYPERLINK("https://twitter.com/bitMomentum","@bitMomentum")</f>
        <v>@bitMomentum</v>
      </c>
      <c r="C1636" s="8" t="s">
        <v>1033</v>
      </c>
      <c r="D1636" s="9" t="s">
        <v>3860</v>
      </c>
      <c r="E1636" s="10" t="str">
        <f>HYPERLINK("https://twitter.com/bitMomentum/status/1065304333602951168","1065304333602951168")</f>
        <v>1065304333602951168</v>
      </c>
      <c r="F1636" s="11"/>
      <c r="G1636" s="11"/>
      <c r="H1636" s="11"/>
      <c r="I1636" s="12">
        <v>0</v>
      </c>
      <c r="J1636" s="12">
        <v>0</v>
      </c>
      <c r="K1636" s="13" t="str">
        <f t="shared" ref="K1636:K1637" si="341">HYPERLINK("http://www.bitmomentum.com","bitMomentum Bot")</f>
        <v>bitMomentum Bot</v>
      </c>
      <c r="L1636" s="12">
        <v>10132</v>
      </c>
      <c r="M1636" s="12">
        <v>1060</v>
      </c>
      <c r="N1636" s="12">
        <v>267</v>
      </c>
      <c r="O1636" s="15"/>
      <c r="P1636" s="6">
        <v>41608.292511574073</v>
      </c>
      <c r="Q1636" s="11"/>
      <c r="R1636" s="17" t="s">
        <v>1038</v>
      </c>
      <c r="S1636" s="14" t="s">
        <v>1039</v>
      </c>
      <c r="T1636" s="11"/>
      <c r="U1636" s="10" t="str">
        <f t="shared" ref="U1636:U1637" si="342">HYPERLINK("https://pbs.twimg.com/profile_images/378800000862185241/20ij2H3u.png","View")</f>
        <v>View</v>
      </c>
    </row>
    <row r="1637" spans="1:21" ht="51">
      <c r="A1637" s="6">
        <v>43425.417361111111</v>
      </c>
      <c r="B1637" s="7" t="str">
        <f t="shared" si="340"/>
        <v>@bitMomentum</v>
      </c>
      <c r="C1637" s="8" t="s">
        <v>1033</v>
      </c>
      <c r="D1637" s="9" t="s">
        <v>3862</v>
      </c>
      <c r="E1637" s="10" t="str">
        <f>HYPERLINK("https://twitter.com/bitMomentum/status/1065304082167078912","1065304082167078912")</f>
        <v>1065304082167078912</v>
      </c>
      <c r="F1637" s="11"/>
      <c r="G1637" s="11"/>
      <c r="H1637" s="11"/>
      <c r="I1637" s="12">
        <v>0</v>
      </c>
      <c r="J1637" s="12">
        <v>0</v>
      </c>
      <c r="K1637" s="13" t="str">
        <f t="shared" si="341"/>
        <v>bitMomentum Bot</v>
      </c>
      <c r="L1637" s="12">
        <v>10132</v>
      </c>
      <c r="M1637" s="12">
        <v>1060</v>
      </c>
      <c r="N1637" s="12">
        <v>267</v>
      </c>
      <c r="O1637" s="15"/>
      <c r="P1637" s="6">
        <v>41608.292511574073</v>
      </c>
      <c r="Q1637" s="11"/>
      <c r="R1637" s="17" t="s">
        <v>1038</v>
      </c>
      <c r="S1637" s="14" t="s">
        <v>1039</v>
      </c>
      <c r="T1637" s="11"/>
      <c r="U1637" s="10" t="str">
        <f t="shared" si="342"/>
        <v>View</v>
      </c>
    </row>
    <row r="1638" spans="1:21" ht="91.8">
      <c r="A1638" s="6">
        <v>43425.415358796294</v>
      </c>
      <c r="B1638" s="7" t="str">
        <f>HYPERLINK("https://twitter.com/estherpico77","@estherpico77")</f>
        <v>@estherpico77</v>
      </c>
      <c r="C1638" s="8" t="s">
        <v>2483</v>
      </c>
      <c r="D1638" s="9" t="s">
        <v>3868</v>
      </c>
      <c r="E1638" s="10" t="str">
        <f>HYPERLINK("https://twitter.com/estherpico77/status/1065303358666350592","1065303358666350592")</f>
        <v>1065303358666350592</v>
      </c>
      <c r="F1638" s="14" t="s">
        <v>3870</v>
      </c>
      <c r="G1638" s="14" t="s">
        <v>3871</v>
      </c>
      <c r="H1638" s="11"/>
      <c r="I1638" s="12">
        <v>1</v>
      </c>
      <c r="J1638" s="12">
        <v>0</v>
      </c>
      <c r="K1638" s="13" t="str">
        <f t="shared" ref="K1638:K1639" si="343">HYPERLINK("http://twitter.com/download/android","Twitter for Android")</f>
        <v>Twitter for Android</v>
      </c>
      <c r="L1638" s="12">
        <v>782</v>
      </c>
      <c r="M1638" s="12">
        <v>743</v>
      </c>
      <c r="N1638" s="12">
        <v>8</v>
      </c>
      <c r="O1638" s="15"/>
      <c r="P1638" s="6">
        <v>41082.139305555553</v>
      </c>
      <c r="Q1638" s="16" t="s">
        <v>3875</v>
      </c>
      <c r="R1638" s="17" t="s">
        <v>3876</v>
      </c>
      <c r="S1638" s="11"/>
      <c r="T1638" s="11"/>
      <c r="U1638" s="10" t="str">
        <f>HYPERLINK("https://pbs.twimg.com/profile_images/1010076276894388224/QStMvCA6.jpg","View")</f>
        <v>View</v>
      </c>
    </row>
    <row r="1639" spans="1:21" ht="61.2">
      <c r="A1639" s="6">
        <v>43425.413182870368</v>
      </c>
      <c r="B1639" s="7" t="str">
        <f>HYPERLINK("https://twitter.com/EsMaimona","@EsMaimona")</f>
        <v>@EsMaimona</v>
      </c>
      <c r="C1639" s="8" t="s">
        <v>2178</v>
      </c>
      <c r="D1639" s="9" t="s">
        <v>3880</v>
      </c>
      <c r="E1639" s="10" t="str">
        <f>HYPERLINK("https://twitter.com/EsMaimona/status/1065302568518254593","1065302568518254593")</f>
        <v>1065302568518254593</v>
      </c>
      <c r="F1639" s="16" t="s">
        <v>3883</v>
      </c>
      <c r="G1639" s="14" t="s">
        <v>3884</v>
      </c>
      <c r="H1639" s="11"/>
      <c r="I1639" s="12">
        <v>0</v>
      </c>
      <c r="J1639" s="12">
        <v>0</v>
      </c>
      <c r="K1639" s="13" t="str">
        <f t="shared" si="343"/>
        <v>Twitter for Android</v>
      </c>
      <c r="L1639" s="12">
        <v>80</v>
      </c>
      <c r="M1639" s="12">
        <v>551</v>
      </c>
      <c r="N1639" s="12">
        <v>4</v>
      </c>
      <c r="O1639" s="15"/>
      <c r="P1639" s="6">
        <v>43405.172986111109</v>
      </c>
      <c r="Q1639" s="11"/>
      <c r="R1639" s="17" t="s">
        <v>2183</v>
      </c>
      <c r="S1639" s="11"/>
      <c r="T1639" s="11"/>
      <c r="U1639" s="10" t="str">
        <f>HYPERLINK("https://pbs.twimg.com/profile_images/1057955020501630976/fvuF7e1s.jpg","View")</f>
        <v>View</v>
      </c>
    </row>
    <row r="1640" spans="1:21" ht="20.399999999999999">
      <c r="A1640" s="6">
        <v>43425.412997685184</v>
      </c>
      <c r="B1640" s="7" t="str">
        <f>HYPERLINK("https://twitter.com/munarri","@munarri")</f>
        <v>@munarri</v>
      </c>
      <c r="C1640" s="8" t="s">
        <v>3886</v>
      </c>
      <c r="D1640" s="9" t="s">
        <v>3887</v>
      </c>
      <c r="E1640" s="10" t="str">
        <f>HYPERLINK("https://twitter.com/munarri/status/1065302501077995520","1065302501077995520")</f>
        <v>1065302501077995520</v>
      </c>
      <c r="F1640" s="14" t="s">
        <v>3889</v>
      </c>
      <c r="G1640" s="11"/>
      <c r="H1640" s="11"/>
      <c r="I1640" s="12">
        <v>0</v>
      </c>
      <c r="J1640" s="12">
        <v>0</v>
      </c>
      <c r="K1640" s="13" t="str">
        <f>HYPERLINK("http://twitter.com/#!/download/ipad","Twitter for iPad")</f>
        <v>Twitter for iPad</v>
      </c>
      <c r="L1640" s="12">
        <v>50</v>
      </c>
      <c r="M1640" s="12">
        <v>91</v>
      </c>
      <c r="N1640" s="12">
        <v>1</v>
      </c>
      <c r="O1640" s="15"/>
      <c r="P1640" s="6">
        <v>41528.315011574072</v>
      </c>
      <c r="Q1640" s="11"/>
      <c r="R1640" s="19"/>
      <c r="S1640" s="11"/>
      <c r="T1640" s="11"/>
      <c r="U1640" s="10" t="str">
        <f>HYPERLINK("https://pbs.twimg.com/profile_images/926146874482053120/V16sUR7o.jpg","View")</f>
        <v>View</v>
      </c>
    </row>
    <row r="1641" spans="1:21" ht="40.799999999999997">
      <c r="A1641" s="6">
        <v>43425.412152777775</v>
      </c>
      <c r="B1641" s="7" t="str">
        <f>HYPERLINK("https://twitter.com/AdeSiracusa","@AdeSiracusa")</f>
        <v>@AdeSiracusa</v>
      </c>
      <c r="C1641" s="8" t="s">
        <v>3890</v>
      </c>
      <c r="D1641" s="9" t="s">
        <v>6988</v>
      </c>
      <c r="E1641" s="10" t="str">
        <f>HYPERLINK("https://twitter.com/AdeSiracusa/status/1065302195254501376","1065302195254501376")</f>
        <v>1065302195254501376</v>
      </c>
      <c r="F1641" s="14" t="s">
        <v>6989</v>
      </c>
      <c r="G1641" s="11"/>
      <c r="H1641" s="11"/>
      <c r="I1641" s="12">
        <v>0</v>
      </c>
      <c r="J1641" s="12">
        <v>0</v>
      </c>
      <c r="K1641" s="13" t="str">
        <f>HYPERLINK("http://www.republicosvenezuela.com/","AdeSiracusa")</f>
        <v>AdeSiracusa</v>
      </c>
      <c r="L1641" s="12">
        <v>3920</v>
      </c>
      <c r="M1641" s="12">
        <v>3927</v>
      </c>
      <c r="N1641" s="12">
        <v>12</v>
      </c>
      <c r="O1641" s="15"/>
      <c r="P1641" s="6">
        <v>42958.201388888891</v>
      </c>
      <c r="Q1641" s="16" t="s">
        <v>3893</v>
      </c>
      <c r="R1641" s="17" t="s">
        <v>3894</v>
      </c>
      <c r="S1641" s="11"/>
      <c r="T1641" s="11"/>
      <c r="U1641" s="10" t="str">
        <f>HYPERLINK("https://pbs.twimg.com/profile_images/895978354591105024/x2wNXrPl.jpg","View")</f>
        <v>View</v>
      </c>
    </row>
    <row r="1642" spans="1:21" ht="81.599999999999994">
      <c r="A1642" s="6">
        <v>43425.410567129627</v>
      </c>
      <c r="B1642" s="7" t="str">
        <f>HYPERLINK("https://twitter.com/drverdad_HLPR","@drverdad_HLPR")</f>
        <v>@drverdad_HLPR</v>
      </c>
      <c r="C1642" s="8" t="s">
        <v>3891</v>
      </c>
      <c r="D1642" s="9" t="s">
        <v>3892</v>
      </c>
      <c r="E1642" s="10" t="str">
        <f>HYPERLINK("https://twitter.com/drverdad_HLPR/status/1065301622295797761","1065301622295797761")</f>
        <v>1065301622295797761</v>
      </c>
      <c r="F1642" s="14" t="s">
        <v>3895</v>
      </c>
      <c r="G1642" s="11"/>
      <c r="H1642" s="11"/>
      <c r="I1642" s="12">
        <v>0</v>
      </c>
      <c r="J1642" s="12">
        <v>0</v>
      </c>
      <c r="K1642" s="13" t="str">
        <f>HYPERLINK("http://twitter.com/download/android","Twitter for Android")</f>
        <v>Twitter for Android</v>
      </c>
      <c r="L1642" s="12">
        <v>112</v>
      </c>
      <c r="M1642" s="12">
        <v>314</v>
      </c>
      <c r="N1642" s="12">
        <v>2</v>
      </c>
      <c r="O1642" s="15"/>
      <c r="P1642" s="6">
        <v>42997.451666666668</v>
      </c>
      <c r="Q1642" s="11"/>
      <c r="R1642" s="17" t="s">
        <v>3896</v>
      </c>
      <c r="S1642" s="11"/>
      <c r="T1642" s="11"/>
      <c r="U1642" s="10" t="str">
        <f>HYPERLINK("https://pbs.twimg.com/profile_images/910224143752286210/AipDNX5-.jpg","View")</f>
        <v>View</v>
      </c>
    </row>
    <row r="1643" spans="1:21" ht="20.399999999999999">
      <c r="A1643" s="6">
        <v>43425.408576388887</v>
      </c>
      <c r="B1643" s="7" t="str">
        <f>HYPERLINK("https://twitter.com/Nacho_Cf90","@Nacho_Cf90")</f>
        <v>@Nacho_Cf90</v>
      </c>
      <c r="C1643" s="8" t="s">
        <v>2088</v>
      </c>
      <c r="D1643" s="9" t="s">
        <v>3897</v>
      </c>
      <c r="E1643" s="10" t="str">
        <f>HYPERLINK("https://twitter.com/Nacho_Cf90/status/1065300900816855041","1065300900816855041")</f>
        <v>1065300900816855041</v>
      </c>
      <c r="F1643" s="11"/>
      <c r="G1643" s="11"/>
      <c r="H1643" s="11"/>
      <c r="I1643" s="12">
        <v>0</v>
      </c>
      <c r="J1643" s="12">
        <v>0</v>
      </c>
      <c r="K1643" s="13" t="str">
        <f>HYPERLINK("http://twitter.com/download/iphone","Twitter for iPhone")</f>
        <v>Twitter for iPhone</v>
      </c>
      <c r="L1643" s="12">
        <v>131</v>
      </c>
      <c r="M1643" s="12">
        <v>48</v>
      </c>
      <c r="N1643" s="12">
        <v>11</v>
      </c>
      <c r="O1643" s="15"/>
      <c r="P1643" s="6">
        <v>41124.136516203704</v>
      </c>
      <c r="Q1643" s="16" t="s">
        <v>28</v>
      </c>
      <c r="R1643" s="17" t="s">
        <v>2092</v>
      </c>
      <c r="S1643" s="11"/>
      <c r="T1643" s="11"/>
      <c r="U1643" s="10" t="str">
        <f>HYPERLINK("https://pbs.twimg.com/profile_images/1045686262210924544/lpSKS1Sk.jpg","View")</f>
        <v>View</v>
      </c>
    </row>
    <row r="1644" spans="1:21" ht="61.2">
      <c r="A1644" s="6">
        <v>43425.405300925922</v>
      </c>
      <c r="B1644" s="7" t="str">
        <f>HYPERLINK("https://twitter.com/MarcoFagnano","@MarcoFagnano")</f>
        <v>@MarcoFagnano</v>
      </c>
      <c r="C1644" s="8" t="s">
        <v>3901</v>
      </c>
      <c r="D1644" s="9" t="s">
        <v>3902</v>
      </c>
      <c r="E1644" s="10" t="str">
        <f>HYPERLINK("https://twitter.com/MarcoFagnano/status/1065299711328960513","1065299711328960513")</f>
        <v>1065299711328960513</v>
      </c>
      <c r="F1644" s="14" t="s">
        <v>3903</v>
      </c>
      <c r="G1644" s="14" t="s">
        <v>3904</v>
      </c>
      <c r="H1644" s="11"/>
      <c r="I1644" s="12">
        <v>0</v>
      </c>
      <c r="J1644" s="12">
        <v>0</v>
      </c>
      <c r="K1644" s="13" t="str">
        <f>HYPERLINK("http://twitter.com/download/android","Twitter for Android")</f>
        <v>Twitter for Android</v>
      </c>
      <c r="L1644" s="12">
        <v>669</v>
      </c>
      <c r="M1644" s="12">
        <v>2254</v>
      </c>
      <c r="N1644" s="12">
        <v>11</v>
      </c>
      <c r="O1644" s="15"/>
      <c r="P1644" s="6">
        <v>40106.452233796299</v>
      </c>
      <c r="Q1644" s="11"/>
      <c r="R1644" s="19"/>
      <c r="S1644" s="11"/>
      <c r="T1644" s="11"/>
      <c r="U1644" s="10" t="str">
        <f>HYPERLINK("https://pbs.twimg.com/profile_images/1039595729801682945/o605zRXU.jpg","View")</f>
        <v>View</v>
      </c>
    </row>
    <row r="1645" spans="1:21" ht="40.799999999999997">
      <c r="A1645" s="6">
        <v>43425.399756944447</v>
      </c>
      <c r="B1645" s="7" t="str">
        <f>HYPERLINK("https://twitter.com/SrEpicFire","@SrEpicFire")</f>
        <v>@SrEpicFire</v>
      </c>
      <c r="C1645" s="8" t="s">
        <v>6990</v>
      </c>
      <c r="D1645" s="9" t="s">
        <v>6991</v>
      </c>
      <c r="E1645" s="10" t="str">
        <f>HYPERLINK("https://twitter.com/SrEpicFire/status/1065297704430039046","1065297704430039046")</f>
        <v>1065297704430039046</v>
      </c>
      <c r="F1645" s="11"/>
      <c r="G1645" s="11"/>
      <c r="H1645" s="11"/>
      <c r="I1645" s="12">
        <v>0</v>
      </c>
      <c r="J1645" s="12">
        <v>0</v>
      </c>
      <c r="K1645" s="13" t="str">
        <f t="shared" ref="K1645:K1646" si="344">HYPERLINK("http://twitter.com","Twitter Web Client")</f>
        <v>Twitter Web Client</v>
      </c>
      <c r="L1645" s="12">
        <v>341</v>
      </c>
      <c r="M1645" s="12">
        <v>735</v>
      </c>
      <c r="N1645" s="12">
        <v>22</v>
      </c>
      <c r="O1645" s="15"/>
      <c r="P1645" s="6">
        <v>40063.59815972222</v>
      </c>
      <c r="Q1645" s="16" t="s">
        <v>6992</v>
      </c>
      <c r="R1645" s="17" t="s">
        <v>6993</v>
      </c>
      <c r="S1645" s="14" t="s">
        <v>6994</v>
      </c>
      <c r="T1645" s="11"/>
      <c r="U1645" s="10" t="str">
        <f>HYPERLINK("https://pbs.twimg.com/profile_images/1042109072512704512/mmg59jIg.jpg","View")</f>
        <v>View</v>
      </c>
    </row>
    <row r="1646" spans="1:21" ht="40.799999999999997">
      <c r="A1646" s="6">
        <v>43425.399363425924</v>
      </c>
      <c r="B1646" s="7" t="str">
        <f>HYPERLINK("https://twitter.com/jluriziglesias","@jluriziglesias")</f>
        <v>@jluriziglesias</v>
      </c>
      <c r="C1646" s="8" t="s">
        <v>3907</v>
      </c>
      <c r="D1646" s="9" t="s">
        <v>3908</v>
      </c>
      <c r="E1646" s="10" t="str">
        <f>HYPERLINK("https://twitter.com/jluriziglesias/status/1065297560426946561","1065297560426946561")</f>
        <v>1065297560426946561</v>
      </c>
      <c r="F1646" s="14" t="s">
        <v>3909</v>
      </c>
      <c r="G1646" s="11"/>
      <c r="H1646" s="11"/>
      <c r="I1646" s="12">
        <v>0</v>
      </c>
      <c r="J1646" s="12">
        <v>0</v>
      </c>
      <c r="K1646" s="13" t="str">
        <f t="shared" si="344"/>
        <v>Twitter Web Client</v>
      </c>
      <c r="L1646" s="12">
        <v>799</v>
      </c>
      <c r="M1646" s="12">
        <v>1717</v>
      </c>
      <c r="N1646" s="12">
        <v>5</v>
      </c>
      <c r="O1646" s="15"/>
      <c r="P1646" s="6">
        <v>42674.434282407412</v>
      </c>
      <c r="Q1646" s="16" t="s">
        <v>3910</v>
      </c>
      <c r="R1646" s="17" t="s">
        <v>3911</v>
      </c>
      <c r="S1646" s="14" t="s">
        <v>3912</v>
      </c>
      <c r="T1646" s="11"/>
      <c r="U1646" s="10" t="str">
        <f>HYPERLINK("https://pbs.twimg.com/profile_images/1046674209034948608/AybFlj93.jpg","View")</f>
        <v>View</v>
      </c>
    </row>
    <row r="1647" spans="1:21" ht="20.399999999999999">
      <c r="A1647" s="6">
        <v>43425.397986111115</v>
      </c>
      <c r="B1647" s="7" t="str">
        <f>HYPERLINK("https://twitter.com/VikyFont","@VikyFont")</f>
        <v>@VikyFont</v>
      </c>
      <c r="C1647" s="8" t="s">
        <v>6995</v>
      </c>
      <c r="D1647" s="9" t="s">
        <v>6996</v>
      </c>
      <c r="E1647" s="10" t="str">
        <f>HYPERLINK("https://twitter.com/VikyFont/status/1065297062856601600","1065297062856601600")</f>
        <v>1065297062856601600</v>
      </c>
      <c r="F1647" s="14" t="s">
        <v>6997</v>
      </c>
      <c r="G1647" s="14" t="s">
        <v>6998</v>
      </c>
      <c r="H1647" s="11"/>
      <c r="I1647" s="12">
        <v>0</v>
      </c>
      <c r="J1647" s="12">
        <v>0</v>
      </c>
      <c r="K1647" s="13" t="str">
        <f>HYPERLINK("https://dlvrit.com/","dlvr.it")</f>
        <v>dlvr.it</v>
      </c>
      <c r="L1647" s="12">
        <v>141</v>
      </c>
      <c r="M1647" s="12">
        <v>23</v>
      </c>
      <c r="N1647" s="12">
        <v>3</v>
      </c>
      <c r="O1647" s="15"/>
      <c r="P1647" s="6">
        <v>42143.287800925929</v>
      </c>
      <c r="Q1647" s="16" t="s">
        <v>87</v>
      </c>
      <c r="R1647" s="17" t="s">
        <v>6999</v>
      </c>
      <c r="S1647" s="14" t="s">
        <v>7000</v>
      </c>
      <c r="T1647" s="11"/>
      <c r="U1647" s="10" t="str">
        <f>HYPERLINK("https://pbs.twimg.com/profile_images/600661139886858240/Ttnjxr7Z.jpg","View")</f>
        <v>View</v>
      </c>
    </row>
    <row r="1648" spans="1:21" ht="40.799999999999997">
      <c r="A1648" s="6">
        <v>43425.397916666669</v>
      </c>
      <c r="B1648" s="7" t="str">
        <f>HYPERLINK("https://twitter.com/Pablo_Iglesias_","@Pablo_Iglesias_")</f>
        <v>@Pablo_Iglesias_</v>
      </c>
      <c r="C1648" s="8" t="s">
        <v>383</v>
      </c>
      <c r="D1648" s="9" t="s">
        <v>7001</v>
      </c>
      <c r="E1648" s="10" t="str">
        <f>HYPERLINK("https://twitter.com/Pablo_Iglesias_/status/1065297036667486211","1065297036667486211")</f>
        <v>1065297036667486211</v>
      </c>
      <c r="F1648" s="11"/>
      <c r="G1648" s="14" t="s">
        <v>7002</v>
      </c>
      <c r="H1648" s="11"/>
      <c r="I1648" s="12">
        <v>536</v>
      </c>
      <c r="J1648" s="12">
        <v>963</v>
      </c>
      <c r="K1648" s="13" t="str">
        <f>HYPERLINK("https://studio.twitter.com","Media Studio")</f>
        <v>Media Studio</v>
      </c>
      <c r="L1648" s="12">
        <v>2240182</v>
      </c>
      <c r="M1648" s="12">
        <v>2735</v>
      </c>
      <c r="N1648" s="12">
        <v>8469</v>
      </c>
      <c r="O1648" s="18" t="s">
        <v>52</v>
      </c>
      <c r="P1648" s="6">
        <v>40351.200300925928</v>
      </c>
      <c r="Q1648" s="16" t="s">
        <v>38</v>
      </c>
      <c r="R1648" s="17" t="s">
        <v>389</v>
      </c>
      <c r="S1648" s="14" t="s">
        <v>58</v>
      </c>
      <c r="T1648" s="11"/>
      <c r="U1648" s="10" t="str">
        <f>HYPERLINK("https://pbs.twimg.com/profile_images/902223370569338884/dL2D2A5P.jpg","View")</f>
        <v>View</v>
      </c>
    </row>
    <row r="1649" spans="1:21" ht="61.2">
      <c r="A1649" s="6">
        <v>43425.391886574071</v>
      </c>
      <c r="B1649" s="7" t="str">
        <f>HYPERLINK("https://twitter.com/escafandrista_k","@escafandrista_k")</f>
        <v>@escafandrista_k</v>
      </c>
      <c r="C1649" s="8" t="s">
        <v>3913</v>
      </c>
      <c r="D1649" s="9" t="s">
        <v>3914</v>
      </c>
      <c r="E1649" s="10" t="str">
        <f>HYPERLINK("https://twitter.com/escafandrista_k/status/1065294853288992769","1065294853288992769")</f>
        <v>1065294853288992769</v>
      </c>
      <c r="F1649" s="16" t="s">
        <v>3883</v>
      </c>
      <c r="G1649" s="14" t="s">
        <v>3884</v>
      </c>
      <c r="H1649" s="11"/>
      <c r="I1649" s="12">
        <v>0</v>
      </c>
      <c r="J1649" s="12">
        <v>1</v>
      </c>
      <c r="K1649" s="13" t="str">
        <f>HYPERLINK("http://twitter.com/download/android","Twitter for Android")</f>
        <v>Twitter for Android</v>
      </c>
      <c r="L1649" s="12">
        <v>2555</v>
      </c>
      <c r="M1649" s="12">
        <v>1988</v>
      </c>
      <c r="N1649" s="12">
        <v>68</v>
      </c>
      <c r="O1649" s="15"/>
      <c r="P1649" s="6">
        <v>40031.188888888893</v>
      </c>
      <c r="Q1649" s="16" t="s">
        <v>165</v>
      </c>
      <c r="R1649" s="17" t="s">
        <v>3920</v>
      </c>
      <c r="S1649" s="14" t="s">
        <v>3921</v>
      </c>
      <c r="T1649" s="11"/>
      <c r="U1649" s="10" t="str">
        <f>HYPERLINK("https://pbs.twimg.com/profile_images/1047423809702318080/Vrc4Bt67.jpg","View")</f>
        <v>View</v>
      </c>
    </row>
    <row r="1650" spans="1:21" ht="40.799999999999997">
      <c r="A1650" s="6">
        <v>43425.390520833331</v>
      </c>
      <c r="B1650" s="7" t="str">
        <f>HYPERLINK("https://twitter.com/AdeSiracusa","@AdeSiracusa")</f>
        <v>@AdeSiracusa</v>
      </c>
      <c r="C1650" s="8" t="s">
        <v>3890</v>
      </c>
      <c r="D1650" s="9" t="s">
        <v>7003</v>
      </c>
      <c r="E1650" s="10" t="str">
        <f>HYPERLINK("https://twitter.com/AdeSiracusa/status/1065294357346091009","1065294357346091009")</f>
        <v>1065294357346091009</v>
      </c>
      <c r="F1650" s="14" t="s">
        <v>7004</v>
      </c>
      <c r="G1650" s="11"/>
      <c r="H1650" s="11"/>
      <c r="I1650" s="12">
        <v>0</v>
      </c>
      <c r="J1650" s="12">
        <v>0</v>
      </c>
      <c r="K1650" s="13" t="str">
        <f>HYPERLINK("http://www.republicosvenezuela.com/","AdeSiracusa")</f>
        <v>AdeSiracusa</v>
      </c>
      <c r="L1650" s="12">
        <v>3920</v>
      </c>
      <c r="M1650" s="12">
        <v>3927</v>
      </c>
      <c r="N1650" s="12">
        <v>12</v>
      </c>
      <c r="O1650" s="15"/>
      <c r="P1650" s="6">
        <v>42958.201388888891</v>
      </c>
      <c r="Q1650" s="16" t="s">
        <v>3893</v>
      </c>
      <c r="R1650" s="17" t="s">
        <v>3894</v>
      </c>
      <c r="S1650" s="11"/>
      <c r="T1650" s="11"/>
      <c r="U1650" s="10" t="str">
        <f>HYPERLINK("https://pbs.twimg.com/profile_images/895978354591105024/x2wNXrPl.jpg","View")</f>
        <v>View</v>
      </c>
    </row>
    <row r="1651" spans="1:21" ht="102">
      <c r="A1651" s="6">
        <v>43425.390509259261</v>
      </c>
      <c r="B1651" s="7" t="str">
        <f>HYPERLINK("https://twitter.com/MarcosdeQuinto","@MarcosdeQuinto")</f>
        <v>@MarcosdeQuinto</v>
      </c>
      <c r="C1651" s="8" t="s">
        <v>3923</v>
      </c>
      <c r="D1651" s="9" t="s">
        <v>3924</v>
      </c>
      <c r="E1651" s="10" t="str">
        <f>HYPERLINK("https://twitter.com/MarcosdeQuinto/status/1065294352388362241","1065294352388362241")</f>
        <v>1065294352388362241</v>
      </c>
      <c r="F1651" s="14" t="s">
        <v>3749</v>
      </c>
      <c r="G1651" s="14" t="s">
        <v>3750</v>
      </c>
      <c r="H1651" s="11"/>
      <c r="I1651" s="12">
        <v>3</v>
      </c>
      <c r="J1651" s="12">
        <v>12</v>
      </c>
      <c r="K1651" s="13" t="str">
        <f>HYPERLINK("http://twitter.com/download/iphone","Twitter for iPhone")</f>
        <v>Twitter for iPhone</v>
      </c>
      <c r="L1651" s="12">
        <v>37185</v>
      </c>
      <c r="M1651" s="12">
        <v>2555</v>
      </c>
      <c r="N1651" s="12">
        <v>920</v>
      </c>
      <c r="O1651" s="18" t="s">
        <v>52</v>
      </c>
      <c r="P1651" s="6">
        <v>40416.132303240738</v>
      </c>
      <c r="Q1651" s="16" t="s">
        <v>3928</v>
      </c>
      <c r="R1651" s="17" t="s">
        <v>3929</v>
      </c>
      <c r="S1651" s="11"/>
      <c r="T1651" s="11"/>
      <c r="U1651" s="10" t="str">
        <f>HYPERLINK("https://pbs.twimg.com/profile_images/792511933173948416/M7BvTguS.jpg","View")</f>
        <v>View</v>
      </c>
    </row>
    <row r="1652" spans="1:21" ht="40.799999999999997">
      <c r="A1652" s="6">
        <v>43425.388958333337</v>
      </c>
      <c r="B1652" s="7" t="str">
        <f>HYPERLINK("https://twitter.com/jcfhornet1","@jcfhornet1")</f>
        <v>@jcfhornet1</v>
      </c>
      <c r="C1652" s="8" t="s">
        <v>3930</v>
      </c>
      <c r="D1652" s="9" t="s">
        <v>3931</v>
      </c>
      <c r="E1652" s="10" t="str">
        <f>HYPERLINK("https://twitter.com/jcfhornet1/status/1065293792419504128","1065293792419504128")</f>
        <v>1065293792419504128</v>
      </c>
      <c r="F1652" s="11"/>
      <c r="G1652" s="14" t="s">
        <v>3932</v>
      </c>
      <c r="H1652" s="11"/>
      <c r="I1652" s="12">
        <v>0</v>
      </c>
      <c r="J1652" s="12">
        <v>0</v>
      </c>
      <c r="K1652" s="13" t="str">
        <f>HYPERLINK("http://twitter.com","Twitter Web Client")</f>
        <v>Twitter Web Client</v>
      </c>
      <c r="L1652" s="12">
        <v>15</v>
      </c>
      <c r="M1652" s="12">
        <v>70</v>
      </c>
      <c r="N1652" s="12">
        <v>0</v>
      </c>
      <c r="O1652" s="15"/>
      <c r="P1652" s="6">
        <v>42144.380439814813</v>
      </c>
      <c r="Q1652" s="11"/>
      <c r="R1652" s="19"/>
      <c r="S1652" s="11"/>
      <c r="T1652" s="11"/>
      <c r="U1652" s="10" t="str">
        <f>HYPERLINK("https://pbs.twimg.com/profile_images/601059001640574977/a-qaPk9n.jpg","View")</f>
        <v>View</v>
      </c>
    </row>
    <row r="1653" spans="1:21" ht="40.799999999999997">
      <c r="A1653" s="6">
        <v>43425.385937500003</v>
      </c>
      <c r="B1653" s="7" t="str">
        <f>HYPERLINK("https://twitter.com/PdeSamos","@PdeSamos")</f>
        <v>@PdeSamos</v>
      </c>
      <c r="C1653" s="8" t="s">
        <v>3877</v>
      </c>
      <c r="D1653" s="9" t="s">
        <v>7005</v>
      </c>
      <c r="E1653" s="10" t="str">
        <f>HYPERLINK("https://twitter.com/PdeSamos/status/1065292695625711616","1065292695625711616")</f>
        <v>1065292695625711616</v>
      </c>
      <c r="F1653" s="14" t="s">
        <v>7006</v>
      </c>
      <c r="G1653" s="11"/>
      <c r="H1653" s="11"/>
      <c r="I1653" s="12">
        <v>0</v>
      </c>
      <c r="J1653" s="12">
        <v>0</v>
      </c>
      <c r="K1653" s="13" t="str">
        <f>HYPERLINK("http://republico.ddns.net","App Libertad PdeSamos")</f>
        <v>App Libertad PdeSamos</v>
      </c>
      <c r="L1653" s="12">
        <v>5283</v>
      </c>
      <c r="M1653" s="12">
        <v>5301</v>
      </c>
      <c r="N1653" s="12">
        <v>12</v>
      </c>
      <c r="O1653" s="15"/>
      <c r="P1653" s="6">
        <v>42889.445567129631</v>
      </c>
      <c r="Q1653" s="16" t="s">
        <v>3881</v>
      </c>
      <c r="R1653" s="17" t="s">
        <v>3882</v>
      </c>
      <c r="S1653" s="11"/>
      <c r="T1653" s="11"/>
      <c r="U1653" s="10" t="str">
        <f>HYPERLINK("https://pbs.twimg.com/profile_images/871063742003511296/xK2IYbrO.jpg","View")</f>
        <v>View</v>
      </c>
    </row>
    <row r="1654" spans="1:21" ht="51">
      <c r="A1654" s="6">
        <v>43425.384976851856</v>
      </c>
      <c r="B1654" s="7" t="str">
        <f>HYPERLINK("https://twitter.com/jcfhornet1","@jcfhornet1")</f>
        <v>@jcfhornet1</v>
      </c>
      <c r="C1654" s="8" t="s">
        <v>3930</v>
      </c>
      <c r="D1654" s="9" t="s">
        <v>3933</v>
      </c>
      <c r="E1654" s="10" t="str">
        <f>HYPERLINK("https://twitter.com/jcfhornet1/status/1065292349163663361","1065292349163663361")</f>
        <v>1065292349163663361</v>
      </c>
      <c r="F1654" s="11"/>
      <c r="G1654" s="14" t="s">
        <v>3934</v>
      </c>
      <c r="H1654" s="11"/>
      <c r="I1654" s="12">
        <v>0</v>
      </c>
      <c r="J1654" s="12">
        <v>0</v>
      </c>
      <c r="K1654" s="13" t="str">
        <f>HYPERLINK("http://twitter.com","Twitter Web Client")</f>
        <v>Twitter Web Client</v>
      </c>
      <c r="L1654" s="12">
        <v>15</v>
      </c>
      <c r="M1654" s="12">
        <v>70</v>
      </c>
      <c r="N1654" s="12">
        <v>0</v>
      </c>
      <c r="O1654" s="15"/>
      <c r="P1654" s="6">
        <v>42144.380439814813</v>
      </c>
      <c r="Q1654" s="11"/>
      <c r="R1654" s="19"/>
      <c r="S1654" s="11"/>
      <c r="T1654" s="11"/>
      <c r="U1654" s="10" t="str">
        <f>HYPERLINK("https://pbs.twimg.com/profile_images/601059001640574977/a-qaPk9n.jpg","View")</f>
        <v>View</v>
      </c>
    </row>
    <row r="1655" spans="1:21" ht="51">
      <c r="A1655" s="6">
        <v>43425.384849537033</v>
      </c>
      <c r="B1655" s="7" t="str">
        <f>HYPERLINK("https://twitter.com/lt_lopez_","@lt_lopez_")</f>
        <v>@lt_lopez_</v>
      </c>
      <c r="C1655" s="8" t="s">
        <v>3936</v>
      </c>
      <c r="D1655" s="9" t="s">
        <v>3937</v>
      </c>
      <c r="E1655" s="10" t="str">
        <f>HYPERLINK("https://twitter.com/lt_lopez_/status/1065292300077735937","1065292300077735937")</f>
        <v>1065292300077735937</v>
      </c>
      <c r="F1655" s="14" t="s">
        <v>3938</v>
      </c>
      <c r="G1655" s="11"/>
      <c r="H1655" s="11"/>
      <c r="I1655" s="12">
        <v>2</v>
      </c>
      <c r="J1655" s="12">
        <v>0</v>
      </c>
      <c r="K1655" s="13" t="str">
        <f>HYPERLINK("http://twitter.com/download/android","Twitter for Android")</f>
        <v>Twitter for Android</v>
      </c>
      <c r="L1655" s="12">
        <v>1859</v>
      </c>
      <c r="M1655" s="12">
        <v>4998</v>
      </c>
      <c r="N1655" s="12">
        <v>11</v>
      </c>
      <c r="O1655" s="15"/>
      <c r="P1655" s="6">
        <v>41499.429918981477</v>
      </c>
      <c r="Q1655" s="16" t="s">
        <v>406</v>
      </c>
      <c r="R1655" s="17" t="s">
        <v>3941</v>
      </c>
      <c r="S1655" s="11"/>
      <c r="T1655" s="11"/>
      <c r="U1655" s="10" t="str">
        <f>HYPERLINK("https://pbs.twimg.com/profile_images/1025057989789720577/Nivhnc9O.jpg","View")</f>
        <v>View</v>
      </c>
    </row>
    <row r="1656" spans="1:21" ht="81.599999999999994">
      <c r="A1656" s="6">
        <v>43425.383333333331</v>
      </c>
      <c r="B1656" s="7" t="str">
        <f>HYPERLINK("https://twitter.com/DerechoEspana","@DerechoEspana")</f>
        <v>@DerechoEspana</v>
      </c>
      <c r="C1656" s="8" t="s">
        <v>7007</v>
      </c>
      <c r="D1656" s="9" t="s">
        <v>7008</v>
      </c>
      <c r="E1656" s="10" t="str">
        <f>HYPERLINK("https://twitter.com/DerechoEspana/status/1065291754092593153","1065291754092593153")</f>
        <v>1065291754092593153</v>
      </c>
      <c r="F1656" s="14" t="s">
        <v>7009</v>
      </c>
      <c r="G1656" s="11"/>
      <c r="H1656" s="11"/>
      <c r="I1656" s="12">
        <v>0</v>
      </c>
      <c r="J1656" s="12">
        <v>2</v>
      </c>
      <c r="K1656" s="13" t="str">
        <f>HYPERLINK("http://twitter.com","Twitter Web Client")</f>
        <v>Twitter Web Client</v>
      </c>
      <c r="L1656" s="12">
        <v>1748</v>
      </c>
      <c r="M1656" s="12">
        <v>1662</v>
      </c>
      <c r="N1656" s="12">
        <v>23</v>
      </c>
      <c r="O1656" s="15"/>
      <c r="P1656" s="6">
        <v>43249.331446759257</v>
      </c>
      <c r="Q1656" s="11"/>
      <c r="R1656" s="17" t="s">
        <v>7010</v>
      </c>
      <c r="S1656" s="11"/>
      <c r="T1656" s="11"/>
      <c r="U1656" s="10" t="str">
        <f>HYPERLINK("https://pbs.twimg.com/profile_images/1020336740400336896/rw3_q96C.jpg","View")</f>
        <v>View</v>
      </c>
    </row>
    <row r="1657" spans="1:21" ht="13.2">
      <c r="A1657" s="6">
        <v>43425.382418981477</v>
      </c>
      <c r="B1657" s="7" t="str">
        <f>HYPERLINK("https://twitter.com/SirPatrickOC","@SirPatrickOC")</f>
        <v>@SirPatrickOC</v>
      </c>
      <c r="C1657" s="8" t="s">
        <v>3944</v>
      </c>
      <c r="D1657" s="9" t="s">
        <v>3945</v>
      </c>
      <c r="E1657" s="10" t="str">
        <f>HYPERLINK("https://twitter.com/SirPatrickOC/status/1065291420125339649","1065291420125339649")</f>
        <v>1065291420125339649</v>
      </c>
      <c r="F1657" s="14" t="s">
        <v>1267</v>
      </c>
      <c r="G1657" s="11"/>
      <c r="H1657" s="11"/>
      <c r="I1657" s="12">
        <v>0</v>
      </c>
      <c r="J1657" s="12">
        <v>0</v>
      </c>
      <c r="K1657" s="13" t="str">
        <f>HYPERLINK("http://twitter.com/download/android","Twitter for Android")</f>
        <v>Twitter for Android</v>
      </c>
      <c r="L1657" s="12">
        <v>370</v>
      </c>
      <c r="M1657" s="12">
        <v>306</v>
      </c>
      <c r="N1657" s="12">
        <v>13</v>
      </c>
      <c r="O1657" s="15"/>
      <c r="P1657" s="6">
        <v>40765.486134259263</v>
      </c>
      <c r="Q1657" s="11"/>
      <c r="R1657" s="17" t="s">
        <v>3947</v>
      </c>
      <c r="S1657" s="14" t="s">
        <v>3948</v>
      </c>
      <c r="T1657" s="11"/>
      <c r="U1657" s="10" t="str">
        <f>HYPERLINK("https://pbs.twimg.com/profile_images/930181969480245248/QI3Ys56H.jpg","View")</f>
        <v>View</v>
      </c>
    </row>
    <row r="1658" spans="1:21" ht="40.799999999999997">
      <c r="A1658" s="6">
        <v>43425.376388888893</v>
      </c>
      <c r="B1658" s="7" t="str">
        <f t="shared" ref="B1658:B1659" si="345">HYPERLINK("https://twitter.com/bitMomentum","@bitMomentum")</f>
        <v>@bitMomentum</v>
      </c>
      <c r="C1658" s="8" t="s">
        <v>1033</v>
      </c>
      <c r="D1658" s="9" t="s">
        <v>3951</v>
      </c>
      <c r="E1658" s="10" t="str">
        <f>HYPERLINK("https://twitter.com/bitMomentum/status/1065289234351820801","1065289234351820801")</f>
        <v>1065289234351820801</v>
      </c>
      <c r="F1658" s="11"/>
      <c r="G1658" s="11"/>
      <c r="H1658" s="11"/>
      <c r="I1658" s="12">
        <v>0</v>
      </c>
      <c r="J1658" s="12">
        <v>1</v>
      </c>
      <c r="K1658" s="13" t="str">
        <f t="shared" ref="K1658:K1659" si="346">HYPERLINK("http://www.bitmomentum.com","bitMomentum Bot")</f>
        <v>bitMomentum Bot</v>
      </c>
      <c r="L1658" s="12">
        <v>10132</v>
      </c>
      <c r="M1658" s="12">
        <v>1060</v>
      </c>
      <c r="N1658" s="12">
        <v>267</v>
      </c>
      <c r="O1658" s="15"/>
      <c r="P1658" s="6">
        <v>41608.292511574073</v>
      </c>
      <c r="Q1658" s="11"/>
      <c r="R1658" s="17" t="s">
        <v>1038</v>
      </c>
      <c r="S1658" s="14" t="s">
        <v>1039</v>
      </c>
      <c r="T1658" s="11"/>
      <c r="U1658" s="10" t="str">
        <f t="shared" ref="U1658:U1659" si="347">HYPERLINK("https://pbs.twimg.com/profile_images/378800000862185241/20ij2H3u.png","View")</f>
        <v>View</v>
      </c>
    </row>
    <row r="1659" spans="1:21" ht="40.799999999999997">
      <c r="A1659" s="6">
        <v>43425.375694444447</v>
      </c>
      <c r="B1659" s="7" t="str">
        <f t="shared" si="345"/>
        <v>@bitMomentum</v>
      </c>
      <c r="C1659" s="8" t="s">
        <v>1033</v>
      </c>
      <c r="D1659" s="9" t="s">
        <v>3955</v>
      </c>
      <c r="E1659" s="10" t="str">
        <f>HYPERLINK("https://twitter.com/bitMomentum/status/1065288982504849408","1065288982504849408")</f>
        <v>1065288982504849408</v>
      </c>
      <c r="F1659" s="11"/>
      <c r="G1659" s="11"/>
      <c r="H1659" s="11"/>
      <c r="I1659" s="12">
        <v>0</v>
      </c>
      <c r="J1659" s="12">
        <v>0</v>
      </c>
      <c r="K1659" s="13" t="str">
        <f t="shared" si="346"/>
        <v>bitMomentum Bot</v>
      </c>
      <c r="L1659" s="12">
        <v>10132</v>
      </c>
      <c r="M1659" s="12">
        <v>1060</v>
      </c>
      <c r="N1659" s="12">
        <v>267</v>
      </c>
      <c r="O1659" s="15"/>
      <c r="P1659" s="6">
        <v>41608.292511574073</v>
      </c>
      <c r="Q1659" s="11"/>
      <c r="R1659" s="17" t="s">
        <v>1038</v>
      </c>
      <c r="S1659" s="14" t="s">
        <v>1039</v>
      </c>
      <c r="T1659" s="11"/>
      <c r="U1659" s="10" t="str">
        <f t="shared" si="347"/>
        <v>View</v>
      </c>
    </row>
    <row r="1660" spans="1:21" ht="51">
      <c r="A1660" s="6">
        <v>43425.375601851847</v>
      </c>
      <c r="B1660" s="7" t="str">
        <f>HYPERLINK("https://twitter.com/EINordico","@EINordico")</f>
        <v>@EINordico</v>
      </c>
      <c r="C1660" s="8" t="s">
        <v>7011</v>
      </c>
      <c r="D1660" s="9" t="s">
        <v>7012</v>
      </c>
      <c r="E1660" s="10" t="str">
        <f>HYPERLINK("https://twitter.com/EINordico/status/1065288949118263296","1065288949118263296")</f>
        <v>1065288949118263296</v>
      </c>
      <c r="F1660" s="16" t="s">
        <v>4631</v>
      </c>
      <c r="G1660" s="11"/>
      <c r="H1660" s="11"/>
      <c r="I1660" s="12">
        <v>0</v>
      </c>
      <c r="J1660" s="12">
        <v>1</v>
      </c>
      <c r="K1660" s="13" t="str">
        <f t="shared" ref="K1660:K1663" si="348">HYPERLINK("http://twitter.com/download/android","Twitter for Android")</f>
        <v>Twitter for Android</v>
      </c>
      <c r="L1660" s="12">
        <v>183</v>
      </c>
      <c r="M1660" s="12">
        <v>214</v>
      </c>
      <c r="N1660" s="12">
        <v>1</v>
      </c>
      <c r="O1660" s="15"/>
      <c r="P1660" s="6">
        <v>43120.639340277776</v>
      </c>
      <c r="Q1660" s="16" t="s">
        <v>7013</v>
      </c>
      <c r="R1660" s="17" t="s">
        <v>7014</v>
      </c>
      <c r="S1660" s="11"/>
      <c r="T1660" s="11"/>
      <c r="U1660" s="10" t="str">
        <f>HYPERLINK("https://pbs.twimg.com/profile_images/955108983831973889/vZ9ASmnF.jpg","View")</f>
        <v>View</v>
      </c>
    </row>
    <row r="1661" spans="1:21" ht="40.799999999999997">
      <c r="A1661" s="6">
        <v>43425.368703703702</v>
      </c>
      <c r="B1661" s="7" t="str">
        <f>HYPERLINK("https://twitter.com/Laenredadera","@Laenredadera")</f>
        <v>@Laenredadera</v>
      </c>
      <c r="C1661" s="8" t="s">
        <v>7015</v>
      </c>
      <c r="D1661" s="9" t="s">
        <v>7016</v>
      </c>
      <c r="E1661" s="10" t="str">
        <f>HYPERLINK("https://twitter.com/Laenredadera/status/1065286450428739584","1065286450428739584")</f>
        <v>1065286450428739584</v>
      </c>
      <c r="F1661" s="11"/>
      <c r="G1661" s="14" t="s">
        <v>3671</v>
      </c>
      <c r="H1661" s="11"/>
      <c r="I1661" s="12">
        <v>66</v>
      </c>
      <c r="J1661" s="12">
        <v>115</v>
      </c>
      <c r="K1661" s="13" t="str">
        <f t="shared" si="348"/>
        <v>Twitter for Android</v>
      </c>
      <c r="L1661" s="12">
        <v>7243</v>
      </c>
      <c r="M1661" s="12">
        <v>5289</v>
      </c>
      <c r="N1661" s="12">
        <v>125</v>
      </c>
      <c r="O1661" s="18" t="s">
        <v>52</v>
      </c>
      <c r="P1661" s="6">
        <v>41059.40834490741</v>
      </c>
      <c r="Q1661" s="16" t="s">
        <v>7017</v>
      </c>
      <c r="R1661" s="17" t="s">
        <v>7018</v>
      </c>
      <c r="S1661" s="14" t="s">
        <v>7019</v>
      </c>
      <c r="T1661" s="11"/>
      <c r="U1661" s="10" t="str">
        <f>HYPERLINK("https://pbs.twimg.com/profile_images/1062664431807668224/m7OdYSQu.jpg","View")</f>
        <v>View</v>
      </c>
    </row>
    <row r="1662" spans="1:21" ht="61.2">
      <c r="A1662" s="6">
        <v>43425.366979166662</v>
      </c>
      <c r="B1662" s="7" t="str">
        <f>HYPERLINK("https://twitter.com/penedo_o","@penedo_o")</f>
        <v>@penedo_o</v>
      </c>
      <c r="C1662" s="8" t="s">
        <v>3052</v>
      </c>
      <c r="D1662" s="9" t="s">
        <v>3959</v>
      </c>
      <c r="E1662" s="10" t="str">
        <f>HYPERLINK("https://twitter.com/penedo_o/status/1065285826349883392","1065285826349883392")</f>
        <v>1065285826349883392</v>
      </c>
      <c r="F1662" s="11"/>
      <c r="G1662" s="14" t="s">
        <v>3962</v>
      </c>
      <c r="H1662" s="11"/>
      <c r="I1662" s="12">
        <v>21</v>
      </c>
      <c r="J1662" s="12">
        <v>15</v>
      </c>
      <c r="K1662" s="13" t="str">
        <f t="shared" si="348"/>
        <v>Twitter for Android</v>
      </c>
      <c r="L1662" s="12">
        <v>2115</v>
      </c>
      <c r="M1662" s="12">
        <v>4990</v>
      </c>
      <c r="N1662" s="12">
        <v>7</v>
      </c>
      <c r="O1662" s="15"/>
      <c r="P1662" s="6">
        <v>42830.199629629627</v>
      </c>
      <c r="Q1662" s="16" t="s">
        <v>28</v>
      </c>
      <c r="R1662" s="19"/>
      <c r="S1662" s="11"/>
      <c r="T1662" s="11"/>
      <c r="U1662" s="10" t="str">
        <f>HYPERLINK("https://pbs.twimg.com/profile_images/856989046660370432/MRLY164I.jpg","View")</f>
        <v>View</v>
      </c>
    </row>
    <row r="1663" spans="1:21" ht="61.2">
      <c r="A1663" s="6">
        <v>43425.366053240738</v>
      </c>
      <c r="B1663" s="7" t="str">
        <f>HYPERLINK("https://twitter.com/euribem","@euribem")</f>
        <v>@euribem</v>
      </c>
      <c r="C1663" s="8" t="s">
        <v>3964</v>
      </c>
      <c r="D1663" s="9" t="s">
        <v>3965</v>
      </c>
      <c r="E1663" s="10" t="str">
        <f>HYPERLINK("https://twitter.com/euribem/status/1065285489660518405","1065285489660518405")</f>
        <v>1065285489660518405</v>
      </c>
      <c r="F1663" s="11"/>
      <c r="G1663" s="14" t="s">
        <v>3967</v>
      </c>
      <c r="H1663" s="11"/>
      <c r="I1663" s="12">
        <v>0</v>
      </c>
      <c r="J1663" s="12">
        <v>0</v>
      </c>
      <c r="K1663" s="13" t="str">
        <f t="shared" si="348"/>
        <v>Twitter for Android</v>
      </c>
      <c r="L1663" s="12">
        <v>2220</v>
      </c>
      <c r="M1663" s="12">
        <v>1895</v>
      </c>
      <c r="N1663" s="12">
        <v>102</v>
      </c>
      <c r="O1663" s="15"/>
      <c r="P1663" s="6">
        <v>40357.13181712963</v>
      </c>
      <c r="Q1663" s="16" t="s">
        <v>569</v>
      </c>
      <c r="R1663" s="17" t="s">
        <v>3968</v>
      </c>
      <c r="S1663" s="11"/>
      <c r="T1663" s="11"/>
      <c r="U1663" s="10" t="str">
        <f>HYPERLINK("https://pbs.twimg.com/profile_images/1040257546886569985/126helWN.jpg","View")</f>
        <v>View</v>
      </c>
    </row>
    <row r="1664" spans="1:21" ht="20.399999999999999">
      <c r="A1664" s="6">
        <v>43425.365682870368</v>
      </c>
      <c r="B1664" s="7" t="str">
        <f>HYPERLINK("https://twitter.com/alandalus1925","@alandalus1925")</f>
        <v>@alandalus1925</v>
      </c>
      <c r="C1664" s="8" t="s">
        <v>6749</v>
      </c>
      <c r="D1664" s="9" t="s">
        <v>7020</v>
      </c>
      <c r="E1664" s="10" t="str">
        <f>HYPERLINK("https://twitter.com/alandalus1925/status/1065285354343809026","1065285354343809026")</f>
        <v>1065285354343809026</v>
      </c>
      <c r="F1664" s="14" t="s">
        <v>7021</v>
      </c>
      <c r="G1664" s="11"/>
      <c r="H1664" s="11"/>
      <c r="I1664" s="12">
        <v>0</v>
      </c>
      <c r="J1664" s="12">
        <v>0</v>
      </c>
      <c r="K1664" s="13" t="str">
        <f>HYPERLINK("http://www.facebook.com/twitter","Facebook")</f>
        <v>Facebook</v>
      </c>
      <c r="L1664" s="12">
        <v>73</v>
      </c>
      <c r="M1664" s="12">
        <v>210</v>
      </c>
      <c r="N1664" s="12">
        <v>0</v>
      </c>
      <c r="O1664" s="15"/>
      <c r="P1664" s="6">
        <v>40628.53056712963</v>
      </c>
      <c r="Q1664" s="11"/>
      <c r="R1664" s="19"/>
      <c r="S1664" s="11"/>
      <c r="T1664" s="11"/>
      <c r="U1664" s="10" t="str">
        <f>HYPERLINK("https://pbs.twimg.com/profile_images/583586549104775169/rKvkH9yL.jpg","View")</f>
        <v>View</v>
      </c>
    </row>
    <row r="1665" spans="1:21" ht="20.399999999999999">
      <c r="A1665" s="6">
        <v>43425.361828703702</v>
      </c>
      <c r="B1665" s="7" t="str">
        <f>HYPERLINK("https://twitter.com/marmadal","@marmadal")</f>
        <v>@marmadal</v>
      </c>
      <c r="C1665" s="8" t="s">
        <v>7022</v>
      </c>
      <c r="D1665" s="9" t="s">
        <v>7023</v>
      </c>
      <c r="E1665" s="10" t="str">
        <f>HYPERLINK("https://twitter.com/marmadal/status/1065283960643567616","1065283960643567616")</f>
        <v>1065283960643567616</v>
      </c>
      <c r="F1665" s="14" t="s">
        <v>5108</v>
      </c>
      <c r="G1665" s="11"/>
      <c r="H1665" s="11"/>
      <c r="I1665" s="12">
        <v>0</v>
      </c>
      <c r="J1665" s="12">
        <v>0</v>
      </c>
      <c r="K1665" s="13" t="str">
        <f>HYPERLINK("http://twitter.com/download/android","Twitter for Android")</f>
        <v>Twitter for Android</v>
      </c>
      <c r="L1665" s="12">
        <v>455</v>
      </c>
      <c r="M1665" s="12">
        <v>1074</v>
      </c>
      <c r="N1665" s="12">
        <v>16</v>
      </c>
      <c r="O1665" s="15"/>
      <c r="P1665" s="6">
        <v>40009.680497685185</v>
      </c>
      <c r="Q1665" s="16" t="s">
        <v>176</v>
      </c>
      <c r="R1665" s="19"/>
      <c r="S1665" s="11"/>
      <c r="T1665" s="11"/>
      <c r="U1665" s="10" t="str">
        <f>HYPERLINK("https://pbs.twimg.com/profile_images/378800000736194759/8e8ff22b9fca430362a18acacea83512.jpeg","View")</f>
        <v>View</v>
      </c>
    </row>
    <row r="1666" spans="1:21" ht="51">
      <c r="A1666" s="6">
        <v>43425.361574074079</v>
      </c>
      <c r="B1666" s="7" t="str">
        <f>HYPERLINK("https://twitter.com/Pablo_Iglesias_","@Pablo_Iglesias_")</f>
        <v>@Pablo_Iglesias_</v>
      </c>
      <c r="C1666" s="8" t="s">
        <v>383</v>
      </c>
      <c r="D1666" s="9" t="s">
        <v>7024</v>
      </c>
      <c r="E1666" s="10" t="str">
        <f>HYPERLINK("https://twitter.com/Pablo_Iglesias_/status/1065283867421085696","1065283867421085696")</f>
        <v>1065283867421085696</v>
      </c>
      <c r="F1666" s="14" t="s">
        <v>4295</v>
      </c>
      <c r="G1666" s="14" t="s">
        <v>7025</v>
      </c>
      <c r="H1666" s="11"/>
      <c r="I1666" s="12">
        <v>260</v>
      </c>
      <c r="J1666" s="12">
        <v>303</v>
      </c>
      <c r="K1666" s="13" t="str">
        <f t="shared" ref="K1666:K1667" si="349">HYPERLINK("http://twitter.com","Twitter Web Client")</f>
        <v>Twitter Web Client</v>
      </c>
      <c r="L1666" s="12">
        <v>2240182</v>
      </c>
      <c r="M1666" s="12">
        <v>2735</v>
      </c>
      <c r="N1666" s="12">
        <v>8469</v>
      </c>
      <c r="O1666" s="18" t="s">
        <v>52</v>
      </c>
      <c r="P1666" s="6">
        <v>40351.200300925928</v>
      </c>
      <c r="Q1666" s="16" t="s">
        <v>38</v>
      </c>
      <c r="R1666" s="17" t="s">
        <v>389</v>
      </c>
      <c r="S1666" s="14" t="s">
        <v>58</v>
      </c>
      <c r="T1666" s="11"/>
      <c r="U1666" s="10" t="str">
        <f>HYPERLINK("https://pbs.twimg.com/profile_images/902223370569338884/dL2D2A5P.jpg","View")</f>
        <v>View</v>
      </c>
    </row>
    <row r="1667" spans="1:21" ht="91.8">
      <c r="A1667" s="6">
        <v>43425.360972222217</v>
      </c>
      <c r="B1667" s="7" t="str">
        <f>HYPERLINK("https://twitter.com/HispaniaFortius","@HispaniaFortius")</f>
        <v>@HispaniaFortius</v>
      </c>
      <c r="C1667" s="8" t="s">
        <v>3971</v>
      </c>
      <c r="D1667" s="9" t="s">
        <v>3972</v>
      </c>
      <c r="E1667" s="10" t="str">
        <f>HYPERLINK("https://twitter.com/HispaniaFortius/status/1065283648998555649","1065283648998555649")</f>
        <v>1065283648998555649</v>
      </c>
      <c r="F1667" s="14" t="s">
        <v>2356</v>
      </c>
      <c r="G1667" s="14" t="s">
        <v>2357</v>
      </c>
      <c r="H1667" s="11"/>
      <c r="I1667" s="12">
        <v>3</v>
      </c>
      <c r="J1667" s="12">
        <v>0</v>
      </c>
      <c r="K1667" s="13" t="str">
        <f t="shared" si="349"/>
        <v>Twitter Web Client</v>
      </c>
      <c r="L1667" s="12">
        <v>4807</v>
      </c>
      <c r="M1667" s="12">
        <v>3174</v>
      </c>
      <c r="N1667" s="12">
        <v>25</v>
      </c>
      <c r="O1667" s="15"/>
      <c r="P1667" s="6">
        <v>42705.10936342593</v>
      </c>
      <c r="Q1667" s="16" t="s">
        <v>3976</v>
      </c>
      <c r="R1667" s="17" t="s">
        <v>3977</v>
      </c>
      <c r="S1667" s="14" t="s">
        <v>3978</v>
      </c>
      <c r="T1667" s="11"/>
      <c r="U1667" s="10" t="str">
        <f>HYPERLINK("https://pbs.twimg.com/profile_images/1046663897560829952/eNO1bPMq.jpg","View")</f>
        <v>View</v>
      </c>
    </row>
    <row r="1668" spans="1:21" ht="51">
      <c r="A1668" s="6">
        <v>43425.351041666669</v>
      </c>
      <c r="B1668" s="7" t="str">
        <f>HYPERLINK("https://twitter.com/inma_ben","@inma_ben")</f>
        <v>@inma_ben</v>
      </c>
      <c r="C1668" s="8" t="s">
        <v>7026</v>
      </c>
      <c r="D1668" s="9" t="s">
        <v>7027</v>
      </c>
      <c r="E1668" s="10" t="str">
        <f>HYPERLINK("https://twitter.com/inma_ben/status/1065280048758951937","1065280048758951937")</f>
        <v>1065280048758951937</v>
      </c>
      <c r="F1668" s="14" t="s">
        <v>4200</v>
      </c>
      <c r="G1668" s="11"/>
      <c r="H1668" s="11"/>
      <c r="I1668" s="12">
        <v>9</v>
      </c>
      <c r="J1668" s="12">
        <v>17</v>
      </c>
      <c r="K1668" s="13" t="str">
        <f>HYPERLINK("http://twitter.com/download/android","Twitter for Android")</f>
        <v>Twitter for Android</v>
      </c>
      <c r="L1668" s="12">
        <v>5146</v>
      </c>
      <c r="M1668" s="12">
        <v>4544</v>
      </c>
      <c r="N1668" s="12">
        <v>22</v>
      </c>
      <c r="O1668" s="15"/>
      <c r="P1668" s="6">
        <v>40534.337546296294</v>
      </c>
      <c r="Q1668" s="11"/>
      <c r="R1668" s="17" t="s">
        <v>7028</v>
      </c>
      <c r="S1668" s="11"/>
      <c r="T1668" s="11"/>
      <c r="U1668" s="10" t="str">
        <f>HYPERLINK("https://pbs.twimg.com/profile_images/1039081249598369792/0Dg6Akmo.jpg","View")</f>
        <v>View</v>
      </c>
    </row>
    <row r="1669" spans="1:21" ht="30.6">
      <c r="A1669" s="6">
        <v>43425.349351851852</v>
      </c>
      <c r="B1669" s="7" t="str">
        <f>HYPERLINK("https://twitter.com/RuizLoEmilio","@RuizLoEmilio")</f>
        <v>@RuizLoEmilio</v>
      </c>
      <c r="C1669" s="8" t="s">
        <v>7029</v>
      </c>
      <c r="D1669" s="9" t="s">
        <v>6996</v>
      </c>
      <c r="E1669" s="10" t="str">
        <f>HYPERLINK("https://twitter.com/RuizLoEmilio/status/1065279435702624256","1065279435702624256")</f>
        <v>1065279435702624256</v>
      </c>
      <c r="F1669" s="14" t="s">
        <v>7030</v>
      </c>
      <c r="G1669" s="14" t="s">
        <v>7031</v>
      </c>
      <c r="H1669" s="11"/>
      <c r="I1669" s="12">
        <v>0</v>
      </c>
      <c r="J1669" s="12">
        <v>0</v>
      </c>
      <c r="K1669" s="13" t="str">
        <f>HYPERLINK("https://dlvrit.com/","dlvr.it")</f>
        <v>dlvr.it</v>
      </c>
      <c r="L1669" s="12">
        <v>1222</v>
      </c>
      <c r="M1669" s="12">
        <v>1685</v>
      </c>
      <c r="N1669" s="12">
        <v>50</v>
      </c>
      <c r="O1669" s="15"/>
      <c r="P1669" s="6">
        <v>40450.612557870372</v>
      </c>
      <c r="Q1669" s="16" t="s">
        <v>7032</v>
      </c>
      <c r="R1669" s="17" t="s">
        <v>7033</v>
      </c>
      <c r="S1669" s="14" t="s">
        <v>7034</v>
      </c>
      <c r="T1669" s="11"/>
      <c r="U1669" s="10" t="str">
        <f>HYPERLINK("https://pbs.twimg.com/profile_images/742039915106537473/FHRdU01S.jpg","View")</f>
        <v>View</v>
      </c>
    </row>
    <row r="1670" spans="1:21" ht="20.399999999999999">
      <c r="A1670" s="6">
        <v>43425.347615740742</v>
      </c>
      <c r="B1670" s="7" t="str">
        <f>HYPERLINK("https://twitter.com/PistiTR","@PistiTR")</f>
        <v>@PistiTR</v>
      </c>
      <c r="C1670" s="8" t="s">
        <v>7035</v>
      </c>
      <c r="D1670" s="9" t="s">
        <v>7036</v>
      </c>
      <c r="E1670" s="10" t="str">
        <f>HYPERLINK("https://twitter.com/PistiTR/status/1065278809530863616","1065278809530863616")</f>
        <v>1065278809530863616</v>
      </c>
      <c r="F1670" s="11"/>
      <c r="G1670" s="11"/>
      <c r="H1670" s="11"/>
      <c r="I1670" s="12">
        <v>0</v>
      </c>
      <c r="J1670" s="12">
        <v>0</v>
      </c>
      <c r="K1670" s="13" t="str">
        <f>HYPERLINK("http://www.twitter.com/MiguiTR","MiguiBoTR")</f>
        <v>MiguiBoTR</v>
      </c>
      <c r="L1670" s="12">
        <v>23</v>
      </c>
      <c r="M1670" s="12">
        <v>11</v>
      </c>
      <c r="N1670" s="12">
        <v>0</v>
      </c>
      <c r="O1670" s="15"/>
      <c r="P1670" s="6">
        <v>41515.829143518517</v>
      </c>
      <c r="Q1670" s="11"/>
      <c r="R1670" s="17" t="s">
        <v>7037</v>
      </c>
      <c r="S1670" s="11"/>
      <c r="T1670" s="11"/>
      <c r="U1670" s="10" t="str">
        <f>HYPERLINK("https://pbs.twimg.com/profile_images/1020468834124353536/J8uipbUL.jpg","View")</f>
        <v>View</v>
      </c>
    </row>
    <row r="1671" spans="1:21" ht="20.399999999999999">
      <c r="A1671" s="6">
        <v>43425.346932870365</v>
      </c>
      <c r="B1671" s="7" t="str">
        <f>HYPERLINK("https://twitter.com/REALSEDAOMKS","@REALSEDAOMKS")</f>
        <v>@REALSEDAOMKS</v>
      </c>
      <c r="C1671" s="8" t="s">
        <v>7038</v>
      </c>
      <c r="D1671" s="9" t="s">
        <v>7039</v>
      </c>
      <c r="E1671" s="10" t="str">
        <f>HYPERLINK("https://twitter.com/REALSEDAOMKS/status/1065278560846397440","1065278560846397440")</f>
        <v>1065278560846397440</v>
      </c>
      <c r="F1671" s="11"/>
      <c r="G1671" s="11"/>
      <c r="H1671" s="11"/>
      <c r="I1671" s="12">
        <v>0</v>
      </c>
      <c r="J1671" s="12">
        <v>0</v>
      </c>
      <c r="K1671" s="13" t="str">
        <f>HYPERLINK("http://twitter.com/download/android","Twitter for Android")</f>
        <v>Twitter for Android</v>
      </c>
      <c r="L1671" s="12">
        <v>432</v>
      </c>
      <c r="M1671" s="12">
        <v>404</v>
      </c>
      <c r="N1671" s="12">
        <v>5</v>
      </c>
      <c r="O1671" s="15"/>
      <c r="P1671" s="6">
        <v>40895.769699074073</v>
      </c>
      <c r="Q1671" s="16" t="s">
        <v>7040</v>
      </c>
      <c r="R1671" s="17" t="s">
        <v>7041</v>
      </c>
      <c r="S1671" s="11"/>
      <c r="T1671" s="11"/>
      <c r="U1671" s="10" t="str">
        <f>HYPERLINK("https://pbs.twimg.com/profile_images/1024974442114568192/DCT_t7YB.jpg","View")</f>
        <v>View</v>
      </c>
    </row>
    <row r="1672" spans="1:21" ht="40.799999999999997">
      <c r="A1672" s="6">
        <v>43425.346909722226</v>
      </c>
      <c r="B1672" s="7" t="str">
        <f>HYPERLINK("https://twitter.com/pacopesetin","@pacopesetin")</f>
        <v>@pacopesetin</v>
      </c>
      <c r="C1672" s="8" t="s">
        <v>7042</v>
      </c>
      <c r="D1672" s="9" t="s">
        <v>7043</v>
      </c>
      <c r="E1672" s="10" t="str">
        <f>HYPERLINK("https://twitter.com/pacopesetin/status/1065278553175003136","1065278553175003136")</f>
        <v>1065278553175003136</v>
      </c>
      <c r="F1672" s="14" t="s">
        <v>7044</v>
      </c>
      <c r="G1672" s="11"/>
      <c r="H1672" s="11"/>
      <c r="I1672" s="12">
        <v>0</v>
      </c>
      <c r="J1672" s="12">
        <v>1</v>
      </c>
      <c r="K1672" s="13" t="str">
        <f>HYPERLINK("http://www.facebook.com/twitter","Facebook")</f>
        <v>Facebook</v>
      </c>
      <c r="L1672" s="12">
        <v>908</v>
      </c>
      <c r="M1672" s="12">
        <v>2000</v>
      </c>
      <c r="N1672" s="12">
        <v>7</v>
      </c>
      <c r="O1672" s="15"/>
      <c r="P1672" s="6">
        <v>40644.560891203706</v>
      </c>
      <c r="Q1672" s="16" t="s">
        <v>7045</v>
      </c>
      <c r="R1672" s="20" t="s">
        <v>7046</v>
      </c>
      <c r="S1672" s="14" t="s">
        <v>7046</v>
      </c>
      <c r="T1672" s="11"/>
      <c r="U1672" s="10" t="str">
        <f>HYPERLINK("https://pbs.twimg.com/profile_images/669058273144762368/yLZyw1PX.jpg","View")</f>
        <v>View</v>
      </c>
    </row>
    <row r="1673" spans="1:21" ht="51">
      <c r="A1673" s="6">
        <v>43425.345659722225</v>
      </c>
      <c r="B1673" s="7" t="str">
        <f>HYPERLINK("https://twitter.com/marquezsergio09","@marquezsergio09")</f>
        <v>@marquezsergio09</v>
      </c>
      <c r="C1673" s="8" t="s">
        <v>3408</v>
      </c>
      <c r="D1673" s="9" t="s">
        <v>7047</v>
      </c>
      <c r="E1673" s="10" t="str">
        <f>HYPERLINK("https://twitter.com/marquezsergio09/status/1065278100144103424","1065278100144103424")</f>
        <v>1065278100144103424</v>
      </c>
      <c r="F1673" s="11"/>
      <c r="G1673" s="11"/>
      <c r="H1673" s="11"/>
      <c r="I1673" s="12">
        <v>0</v>
      </c>
      <c r="J1673" s="12">
        <v>2</v>
      </c>
      <c r="K1673" s="13" t="str">
        <f t="shared" ref="K1673:K1674" si="350">HYPERLINK("http://twitter.com/download/android","Twitter for Android")</f>
        <v>Twitter for Android</v>
      </c>
      <c r="L1673" s="12">
        <v>255</v>
      </c>
      <c r="M1673" s="12">
        <v>560</v>
      </c>
      <c r="N1673" s="12">
        <v>0</v>
      </c>
      <c r="O1673" s="15"/>
      <c r="P1673" s="6">
        <v>42740.272418981476</v>
      </c>
      <c r="Q1673" s="16" t="s">
        <v>2839</v>
      </c>
      <c r="R1673" s="17" t="s">
        <v>3413</v>
      </c>
      <c r="S1673" s="11"/>
      <c r="T1673" s="11"/>
      <c r="U1673" s="10" t="str">
        <f>HYPERLINK("https://pbs.twimg.com/profile_images/1063280678782058497/HVuBkRi2.jpg","View")</f>
        <v>View</v>
      </c>
    </row>
    <row r="1674" spans="1:21" ht="40.799999999999997">
      <c r="A1674" s="6">
        <v>43425.342858796299</v>
      </c>
      <c r="B1674" s="7" t="str">
        <f>HYPERLINK("https://twitter.com/JoseL_Leganes","@JoseL_Leganes")</f>
        <v>@JoseL_Leganes</v>
      </c>
      <c r="C1674" s="8" t="s">
        <v>7048</v>
      </c>
      <c r="D1674" s="9" t="s">
        <v>7049</v>
      </c>
      <c r="E1674" s="10" t="str">
        <f>HYPERLINK("https://twitter.com/JoseL_Leganes/status/1065277084770156544","1065277084770156544")</f>
        <v>1065277084770156544</v>
      </c>
      <c r="F1674" s="11"/>
      <c r="G1674" s="11"/>
      <c r="H1674" s="11"/>
      <c r="I1674" s="12">
        <v>0</v>
      </c>
      <c r="J1674" s="12">
        <v>1</v>
      </c>
      <c r="K1674" s="13" t="str">
        <f t="shared" si="350"/>
        <v>Twitter for Android</v>
      </c>
      <c r="L1674" s="12">
        <v>1102</v>
      </c>
      <c r="M1674" s="12">
        <v>1059</v>
      </c>
      <c r="N1674" s="12">
        <v>21</v>
      </c>
      <c r="O1674" s="15"/>
      <c r="P1674" s="6">
        <v>41898.100312499999</v>
      </c>
      <c r="Q1674" s="16" t="s">
        <v>7050</v>
      </c>
      <c r="R1674" s="17" t="s">
        <v>7051</v>
      </c>
      <c r="S1674" s="14" t="s">
        <v>7052</v>
      </c>
      <c r="T1674" s="11"/>
      <c r="U1674" s="10" t="str">
        <f>HYPERLINK("https://pbs.twimg.com/profile_images/667045479608401921/utDSvq65.jpg","View")</f>
        <v>View</v>
      </c>
    </row>
    <row r="1675" spans="1:21" ht="40.799999999999997">
      <c r="A1675" s="6">
        <v>43425.342546296291</v>
      </c>
      <c r="B1675" s="7" t="str">
        <f>HYPERLINK("https://twitter.com/ParamioConde","@ParamioConde")</f>
        <v>@ParamioConde</v>
      </c>
      <c r="C1675" s="8" t="s">
        <v>7053</v>
      </c>
      <c r="D1675" s="9" t="s">
        <v>7054</v>
      </c>
      <c r="E1675" s="10" t="str">
        <f>HYPERLINK("https://twitter.com/ParamioConde/status/1065276973046472705","1065276973046472705")</f>
        <v>1065276973046472705</v>
      </c>
      <c r="F1675" s="11"/>
      <c r="G1675" s="14" t="s">
        <v>7055</v>
      </c>
      <c r="H1675" s="11"/>
      <c r="I1675" s="12">
        <v>21</v>
      </c>
      <c r="J1675" s="12">
        <v>15</v>
      </c>
      <c r="K1675" s="13" t="str">
        <f>HYPERLINK("http://twitter.com/download/iphone","Twitter for iPhone")</f>
        <v>Twitter for iPhone</v>
      </c>
      <c r="L1675" s="12">
        <v>6602</v>
      </c>
      <c r="M1675" s="12">
        <v>2967</v>
      </c>
      <c r="N1675" s="12">
        <v>271</v>
      </c>
      <c r="O1675" s="15"/>
      <c r="P1675" s="6">
        <v>40336.140219907407</v>
      </c>
      <c r="Q1675" s="16" t="s">
        <v>7056</v>
      </c>
      <c r="R1675" s="17" t="s">
        <v>7057</v>
      </c>
      <c r="S1675" s="11"/>
      <c r="T1675" s="11"/>
      <c r="U1675" s="10" t="str">
        <f>HYPERLINK("https://pbs.twimg.com/profile_images/947944900921905160/bBqTkTD0.jpg","View")</f>
        <v>View</v>
      </c>
    </row>
    <row r="1676" spans="1:21" ht="61.2">
      <c r="A1676" s="6">
        <v>43425.341203703705</v>
      </c>
      <c r="B1676" s="7" t="str">
        <f>HYPERLINK("https://twitter.com/usingneurons","@usingneurons")</f>
        <v>@usingneurons</v>
      </c>
      <c r="C1676" s="8" t="s">
        <v>280</v>
      </c>
      <c r="D1676" s="9" t="s">
        <v>3979</v>
      </c>
      <c r="E1676" s="10" t="str">
        <f>HYPERLINK("https://twitter.com/usingneurons/status/1065276482908508161","1065276482908508161")</f>
        <v>1065276482908508161</v>
      </c>
      <c r="F1676" s="11"/>
      <c r="G1676" s="11"/>
      <c r="H1676" s="11"/>
      <c r="I1676" s="12">
        <v>0</v>
      </c>
      <c r="J1676" s="12">
        <v>0</v>
      </c>
      <c r="K1676" s="13" t="str">
        <f>HYPERLINK("http://twitter.com","Twitter Web Client")</f>
        <v>Twitter Web Client</v>
      </c>
      <c r="L1676" s="12">
        <v>924</v>
      </c>
      <c r="M1676" s="12">
        <v>894</v>
      </c>
      <c r="N1676" s="12">
        <v>21</v>
      </c>
      <c r="O1676" s="15"/>
      <c r="P1676" s="6">
        <v>41781.407407407409</v>
      </c>
      <c r="Q1676" s="11"/>
      <c r="R1676" s="17" t="s">
        <v>286</v>
      </c>
      <c r="S1676" s="11"/>
      <c r="T1676" s="11"/>
      <c r="U1676" s="10" t="str">
        <f>HYPERLINK("https://pbs.twimg.com/profile_images/497787841733066752/jnJEf2Rm.jpeg","View")</f>
        <v>View</v>
      </c>
    </row>
    <row r="1677" spans="1:21" ht="20.399999999999999">
      <c r="A1677" s="6">
        <v>43425.340960648144</v>
      </c>
      <c r="B1677" s="7" t="str">
        <f>HYPERLINK("https://twitter.com/Kronos_Manuel","@Kronos_Manuel")</f>
        <v>@Kronos_Manuel</v>
      </c>
      <c r="C1677" s="8" t="s">
        <v>2876</v>
      </c>
      <c r="D1677" s="9" t="s">
        <v>3985</v>
      </c>
      <c r="E1677" s="10" t="str">
        <f>HYPERLINK("https://twitter.com/Kronos_Manuel/status/1065276395713110016","1065276395713110016")</f>
        <v>1065276395713110016</v>
      </c>
      <c r="F1677" s="11"/>
      <c r="G1677" s="14" t="s">
        <v>3750</v>
      </c>
      <c r="H1677" s="11"/>
      <c r="I1677" s="12">
        <v>0</v>
      </c>
      <c r="J1677" s="12">
        <v>0</v>
      </c>
      <c r="K1677" s="13" t="str">
        <f>HYPERLINK("http://twitter.com/download/iphone","Twitter for iPhone")</f>
        <v>Twitter for iPhone</v>
      </c>
      <c r="L1677" s="12">
        <v>17</v>
      </c>
      <c r="M1677" s="12">
        <v>20</v>
      </c>
      <c r="N1677" s="12">
        <v>0</v>
      </c>
      <c r="O1677" s="15"/>
      <c r="P1677" s="6">
        <v>42484.031921296293</v>
      </c>
      <c r="Q1677" s="11"/>
      <c r="R1677" s="17" t="s">
        <v>2878</v>
      </c>
      <c r="S1677" s="11"/>
      <c r="T1677" s="11"/>
      <c r="U1677" s="10" t="str">
        <f>HYPERLINK("https://pbs.twimg.com/profile_images/1042919711330193408/DVcr1unV.jpg","View")</f>
        <v>View</v>
      </c>
    </row>
    <row r="1678" spans="1:21" ht="30.6">
      <c r="A1678" s="6">
        <v>43425.340046296296</v>
      </c>
      <c r="B1678" s="7" t="str">
        <f>HYPERLINK("https://twitter.com/caencomonueces","@caencomonueces")</f>
        <v>@caencomonueces</v>
      </c>
      <c r="C1678" s="8" t="s">
        <v>3983</v>
      </c>
      <c r="D1678" s="9" t="s">
        <v>7058</v>
      </c>
      <c r="E1678" s="10" t="str">
        <f>HYPERLINK("https://twitter.com/caencomonueces/status/1065276065109680131","1065276065109680131")</f>
        <v>1065276065109680131</v>
      </c>
      <c r="F1678" s="14" t="s">
        <v>7059</v>
      </c>
      <c r="G1678" s="11"/>
      <c r="H1678" s="11"/>
      <c r="I1678" s="12">
        <v>0</v>
      </c>
      <c r="J1678" s="12">
        <v>0</v>
      </c>
      <c r="K1678" s="13" t="str">
        <f t="shared" ref="K1678:K1679" si="351">HYPERLINK("http://twitter.com/download/android","Twitter for Android")</f>
        <v>Twitter for Android</v>
      </c>
      <c r="L1678" s="12">
        <v>629</v>
      </c>
      <c r="M1678" s="12">
        <v>1153</v>
      </c>
      <c r="N1678" s="12">
        <v>3</v>
      </c>
      <c r="O1678" s="15"/>
      <c r="P1678" s="6">
        <v>41242.426539351851</v>
      </c>
      <c r="Q1678" s="16" t="s">
        <v>27</v>
      </c>
      <c r="R1678" s="17" t="s">
        <v>3986</v>
      </c>
      <c r="S1678" s="11"/>
      <c r="T1678" s="11"/>
      <c r="U1678" s="10" t="str">
        <f>HYPERLINK("https://pbs.twimg.com/profile_images/802542076420378628/S_52YFJA.jpg","View")</f>
        <v>View</v>
      </c>
    </row>
    <row r="1679" spans="1:21" ht="71.400000000000006">
      <c r="A1679" s="6">
        <v>43425.338090277779</v>
      </c>
      <c r="B1679" s="7" t="str">
        <f>HYPERLINK("https://twitter.com/Florynova","@Florynova")</f>
        <v>@Florynova</v>
      </c>
      <c r="C1679" s="8" t="s">
        <v>7060</v>
      </c>
      <c r="D1679" s="9" t="s">
        <v>7061</v>
      </c>
      <c r="E1679" s="10" t="str">
        <f>HYPERLINK("https://twitter.com/Florynova/status/1065275354930130950","1065275354930130950")</f>
        <v>1065275354930130950</v>
      </c>
      <c r="F1679" s="16" t="s">
        <v>7062</v>
      </c>
      <c r="G1679" s="11"/>
      <c r="H1679" s="11"/>
      <c r="I1679" s="12">
        <v>0</v>
      </c>
      <c r="J1679" s="12">
        <v>0</v>
      </c>
      <c r="K1679" s="13" t="str">
        <f t="shared" si="351"/>
        <v>Twitter for Android</v>
      </c>
      <c r="L1679" s="12">
        <v>1177</v>
      </c>
      <c r="M1679" s="12">
        <v>1222</v>
      </c>
      <c r="N1679" s="12">
        <v>8</v>
      </c>
      <c r="O1679" s="15"/>
      <c r="P1679" s="6">
        <v>40946.439756944441</v>
      </c>
      <c r="Q1679" s="16" t="s">
        <v>7063</v>
      </c>
      <c r="R1679" s="17" t="s">
        <v>7064</v>
      </c>
      <c r="S1679" s="14" t="s">
        <v>7065</v>
      </c>
      <c r="T1679" s="11"/>
      <c r="U1679" s="10" t="str">
        <f>HYPERLINK("https://pbs.twimg.com/profile_images/939510198833745921/ZO8Ehw_a.jpg","View")</f>
        <v>View</v>
      </c>
    </row>
    <row r="1680" spans="1:21" ht="30.6">
      <c r="A1680" s="6">
        <v>43425.335486111115</v>
      </c>
      <c r="B1680" s="7" t="str">
        <f>HYPERLINK("https://twitter.com/MaiteRepulicana","@MaiteRepulicana")</f>
        <v>@MaiteRepulicana</v>
      </c>
      <c r="C1680" s="8" t="s">
        <v>3989</v>
      </c>
      <c r="D1680" s="9" t="s">
        <v>3990</v>
      </c>
      <c r="E1680" s="10" t="str">
        <f>HYPERLINK("https://twitter.com/MaiteRepulicana/status/1065274413829025792","1065274413829025792")</f>
        <v>1065274413829025792</v>
      </c>
      <c r="F1680" s="11"/>
      <c r="G1680" s="11"/>
      <c r="H1680" s="11"/>
      <c r="I1680" s="12">
        <v>0</v>
      </c>
      <c r="J1680" s="12">
        <v>0</v>
      </c>
      <c r="K1680" s="13" t="str">
        <f>HYPERLINK("http://twitter.com","Twitter Web Client")</f>
        <v>Twitter Web Client</v>
      </c>
      <c r="L1680" s="12">
        <v>1610</v>
      </c>
      <c r="M1680" s="12">
        <v>1148</v>
      </c>
      <c r="N1680" s="12">
        <v>41</v>
      </c>
      <c r="O1680" s="15"/>
      <c r="P1680" s="6">
        <v>42557.438530092593</v>
      </c>
      <c r="Q1680" s="11"/>
      <c r="R1680" s="17" t="s">
        <v>3992</v>
      </c>
      <c r="S1680" s="11"/>
      <c r="T1680" s="11"/>
      <c r="U1680" s="10" t="str">
        <f>HYPERLINK("https://pbs.twimg.com/profile_images/750748589517860864/ElQjP7WF.jpg","View")</f>
        <v>View</v>
      </c>
    </row>
    <row r="1681" spans="1:21" ht="81.599999999999994">
      <c r="A1681" s="6">
        <v>43425.335173611107</v>
      </c>
      <c r="B1681" s="7" t="str">
        <f>HYPERLINK("https://twitter.com/negreira77","@negreira77")</f>
        <v>@negreira77</v>
      </c>
      <c r="C1681" s="8" t="s">
        <v>3995</v>
      </c>
      <c r="D1681" s="9" t="s">
        <v>3997</v>
      </c>
      <c r="E1681" s="10" t="str">
        <f>HYPERLINK("https://twitter.com/negreira77/status/1065274298582085638","1065274298582085638")</f>
        <v>1065274298582085638</v>
      </c>
      <c r="F1681" s="16" t="s">
        <v>3602</v>
      </c>
      <c r="G1681" s="11"/>
      <c r="H1681" s="11"/>
      <c r="I1681" s="12">
        <v>22</v>
      </c>
      <c r="J1681" s="12">
        <v>20</v>
      </c>
      <c r="K1681" s="13" t="str">
        <f>HYPERLINK("http://twitter.com/download/android","Twitter for Android")</f>
        <v>Twitter for Android</v>
      </c>
      <c r="L1681" s="12">
        <v>2014</v>
      </c>
      <c r="M1681" s="12">
        <v>971</v>
      </c>
      <c r="N1681" s="12">
        <v>8</v>
      </c>
      <c r="O1681" s="15"/>
      <c r="P1681" s="6">
        <v>41677.504490740743</v>
      </c>
      <c r="Q1681" s="16" t="s">
        <v>4002</v>
      </c>
      <c r="R1681" s="19"/>
      <c r="S1681" s="11"/>
      <c r="T1681" s="11"/>
      <c r="U1681" s="10" t="str">
        <f>HYPERLINK("https://pbs.twimg.com/profile_images/1001834250075889664/Vq52SqwP.jpg","View")</f>
        <v>View</v>
      </c>
    </row>
    <row r="1682" spans="1:21" ht="40.799999999999997">
      <c r="A1682" s="6">
        <v>43425.334722222222</v>
      </c>
      <c r="B1682" s="7" t="str">
        <f>HYPERLINK("https://twitter.com/bitMomentum","@bitMomentum")</f>
        <v>@bitMomentum</v>
      </c>
      <c r="C1682" s="8" t="s">
        <v>1033</v>
      </c>
      <c r="D1682" s="9" t="s">
        <v>4004</v>
      </c>
      <c r="E1682" s="10" t="str">
        <f>HYPERLINK("https://twitter.com/bitMomentum/status/1065274134790369280","1065274134790369280")</f>
        <v>1065274134790369280</v>
      </c>
      <c r="F1682" s="11"/>
      <c r="G1682" s="11"/>
      <c r="H1682" s="11"/>
      <c r="I1682" s="12">
        <v>0</v>
      </c>
      <c r="J1682" s="12">
        <v>0</v>
      </c>
      <c r="K1682" s="13" t="str">
        <f>HYPERLINK("http://www.bitmomentum.com","bitMomentum Bot")</f>
        <v>bitMomentum Bot</v>
      </c>
      <c r="L1682" s="12">
        <v>10132</v>
      </c>
      <c r="M1682" s="12">
        <v>1060</v>
      </c>
      <c r="N1682" s="12">
        <v>267</v>
      </c>
      <c r="O1682" s="15"/>
      <c r="P1682" s="6">
        <v>41608.292511574073</v>
      </c>
      <c r="Q1682" s="11"/>
      <c r="R1682" s="17" t="s">
        <v>1038</v>
      </c>
      <c r="S1682" s="14" t="s">
        <v>1039</v>
      </c>
      <c r="T1682" s="11"/>
      <c r="U1682" s="10" t="str">
        <f>HYPERLINK("https://pbs.twimg.com/profile_images/378800000862185241/20ij2H3u.png","View")</f>
        <v>View</v>
      </c>
    </row>
    <row r="1683" spans="1:21" ht="30.6">
      <c r="A1683" s="6">
        <v>43425.334652777776</v>
      </c>
      <c r="B1683" s="7" t="str">
        <f>HYPERLINK("https://twitter.com/marquezsergio09","@marquezsergio09")</f>
        <v>@marquezsergio09</v>
      </c>
      <c r="C1683" s="8" t="s">
        <v>3408</v>
      </c>
      <c r="D1683" s="9" t="s">
        <v>7066</v>
      </c>
      <c r="E1683" s="10" t="str">
        <f>HYPERLINK("https://twitter.com/marquezsergio09/status/1065274109280612352","1065274109280612352")</f>
        <v>1065274109280612352</v>
      </c>
      <c r="F1683" s="11"/>
      <c r="G1683" s="11"/>
      <c r="H1683" s="11"/>
      <c r="I1683" s="12">
        <v>0</v>
      </c>
      <c r="J1683" s="12">
        <v>1</v>
      </c>
      <c r="K1683" s="13" t="str">
        <f>HYPERLINK("http://twitter.com/download/android","Twitter for Android")</f>
        <v>Twitter for Android</v>
      </c>
      <c r="L1683" s="12">
        <v>255</v>
      </c>
      <c r="M1683" s="12">
        <v>560</v>
      </c>
      <c r="N1683" s="12">
        <v>0</v>
      </c>
      <c r="O1683" s="15"/>
      <c r="P1683" s="6">
        <v>42740.272418981476</v>
      </c>
      <c r="Q1683" s="16" t="s">
        <v>2839</v>
      </c>
      <c r="R1683" s="17" t="s">
        <v>3413</v>
      </c>
      <c r="S1683" s="11"/>
      <c r="T1683" s="11"/>
      <c r="U1683" s="10" t="str">
        <f>HYPERLINK("https://pbs.twimg.com/profile_images/1063280678782058497/HVuBkRi2.jpg","View")</f>
        <v>View</v>
      </c>
    </row>
    <row r="1684" spans="1:21" ht="40.799999999999997">
      <c r="A1684" s="6">
        <v>43425.334247685183</v>
      </c>
      <c r="B1684" s="7" t="str">
        <f>HYPERLINK("https://twitter.com/publico_es","@publico_es")</f>
        <v>@publico_es</v>
      </c>
      <c r="C1684" s="8" t="s">
        <v>1763</v>
      </c>
      <c r="D1684" s="9" t="s">
        <v>4006</v>
      </c>
      <c r="E1684" s="10" t="str">
        <f>HYPERLINK("https://twitter.com/publico_es/status/1065273965927555072","1065273965927555072")</f>
        <v>1065273965927555072</v>
      </c>
      <c r="F1684" s="11"/>
      <c r="G1684" s="14" t="s">
        <v>4007</v>
      </c>
      <c r="H1684" s="11"/>
      <c r="I1684" s="12">
        <v>90</v>
      </c>
      <c r="J1684" s="12">
        <v>142</v>
      </c>
      <c r="K1684" s="13" t="str">
        <f>HYPERLINK("http://snappytv.com","SnappyTV.com")</f>
        <v>SnappyTV.com</v>
      </c>
      <c r="L1684" s="12">
        <v>911011</v>
      </c>
      <c r="M1684" s="12">
        <v>1455</v>
      </c>
      <c r="N1684" s="12">
        <v>14824</v>
      </c>
      <c r="O1684" s="18" t="s">
        <v>52</v>
      </c>
      <c r="P1684" s="6">
        <v>39779.184525462959</v>
      </c>
      <c r="Q1684" s="16" t="s">
        <v>886</v>
      </c>
      <c r="R1684" s="17" t="s">
        <v>1770</v>
      </c>
      <c r="S1684" s="14" t="s">
        <v>1766</v>
      </c>
      <c r="T1684" s="11"/>
      <c r="U1684" s="10" t="str">
        <f>HYPERLINK("https://pbs.twimg.com/profile_images/1048242435682422786/FdzZWHU8.jpg","View")</f>
        <v>View</v>
      </c>
    </row>
    <row r="1685" spans="1:21" ht="40.799999999999997">
      <c r="A1685" s="6">
        <v>43425.334027777775</v>
      </c>
      <c r="B1685" s="7" t="str">
        <f>HYPERLINK("https://twitter.com/bitMomentum","@bitMomentum")</f>
        <v>@bitMomentum</v>
      </c>
      <c r="C1685" s="8" t="s">
        <v>1033</v>
      </c>
      <c r="D1685" s="9" t="s">
        <v>4010</v>
      </c>
      <c r="E1685" s="10" t="str">
        <f>HYPERLINK("https://twitter.com/bitMomentum/status/1065273882981085190","1065273882981085190")</f>
        <v>1065273882981085190</v>
      </c>
      <c r="F1685" s="11"/>
      <c r="G1685" s="11"/>
      <c r="H1685" s="11"/>
      <c r="I1685" s="12">
        <v>0</v>
      </c>
      <c r="J1685" s="12">
        <v>0</v>
      </c>
      <c r="K1685" s="13" t="str">
        <f>HYPERLINK("http://www.bitmomentum.com","bitMomentum Bot")</f>
        <v>bitMomentum Bot</v>
      </c>
      <c r="L1685" s="12">
        <v>10132</v>
      </c>
      <c r="M1685" s="12">
        <v>1060</v>
      </c>
      <c r="N1685" s="12">
        <v>267</v>
      </c>
      <c r="O1685" s="15"/>
      <c r="P1685" s="6">
        <v>41608.292511574073</v>
      </c>
      <c r="Q1685" s="11"/>
      <c r="R1685" s="17" t="s">
        <v>1038</v>
      </c>
      <c r="S1685" s="14" t="s">
        <v>1039</v>
      </c>
      <c r="T1685" s="11"/>
      <c r="U1685" s="10" t="str">
        <f>HYPERLINK("https://pbs.twimg.com/profile_images/378800000862185241/20ij2H3u.png","View")</f>
        <v>View</v>
      </c>
    </row>
    <row r="1686" spans="1:21" ht="30.6">
      <c r="A1686" s="6">
        <v>43425.329606481479</v>
      </c>
      <c r="B1686" s="7" t="str">
        <f>HYPERLINK("https://twitter.com/gara_ice","@gara_ice")</f>
        <v>@gara_ice</v>
      </c>
      <c r="C1686" s="8" t="s">
        <v>1475</v>
      </c>
      <c r="D1686" s="9" t="s">
        <v>7067</v>
      </c>
      <c r="E1686" s="10" t="str">
        <f>HYPERLINK("https://twitter.com/gara_ice/status/1065272281876828161","1065272281876828161")</f>
        <v>1065272281876828161</v>
      </c>
      <c r="F1686" s="14" t="s">
        <v>7068</v>
      </c>
      <c r="G1686" s="11"/>
      <c r="H1686" s="11"/>
      <c r="I1686" s="12">
        <v>0</v>
      </c>
      <c r="J1686" s="12">
        <v>0</v>
      </c>
      <c r="K1686" s="13" t="str">
        <f>HYPERLINK("https://ifttt.com","IFTTT")</f>
        <v>IFTTT</v>
      </c>
      <c r="L1686" s="12">
        <v>445</v>
      </c>
      <c r="M1686" s="12">
        <v>434</v>
      </c>
      <c r="N1686" s="12">
        <v>10</v>
      </c>
      <c r="O1686" s="15"/>
      <c r="P1686" s="6">
        <v>39590.060324074075</v>
      </c>
      <c r="Q1686" s="11"/>
      <c r="R1686" s="19"/>
      <c r="S1686" s="11"/>
      <c r="T1686" s="11"/>
      <c r="U1686" s="10" t="str">
        <f>HYPERLINK("https://pbs.twimg.com/profile_images/561850533468971008/-4f3cnLr.jpeg","View")</f>
        <v>View</v>
      </c>
    </row>
    <row r="1687" spans="1:21" ht="30.6">
      <c r="A1687" s="6">
        <v>43425.329375000001</v>
      </c>
      <c r="B1687" s="7" t="str">
        <f>HYPERLINK("https://twitter.com/tinovegajaen","@tinovegajaen")</f>
        <v>@tinovegajaen</v>
      </c>
      <c r="C1687" s="8" t="s">
        <v>7069</v>
      </c>
      <c r="D1687" s="9" t="s">
        <v>7070</v>
      </c>
      <c r="E1687" s="10" t="str">
        <f>HYPERLINK("https://twitter.com/tinovegajaen/status/1065272197130977280","1065272197130977280")</f>
        <v>1065272197130977280</v>
      </c>
      <c r="F1687" s="11"/>
      <c r="G1687" s="11"/>
      <c r="H1687" s="11"/>
      <c r="I1687" s="12">
        <v>0</v>
      </c>
      <c r="J1687" s="12">
        <v>0</v>
      </c>
      <c r="K1687" s="13" t="str">
        <f>HYPERLINK("http://twitter.com/download/iphone","Twitter for iPhone")</f>
        <v>Twitter for iPhone</v>
      </c>
      <c r="L1687" s="12">
        <v>39</v>
      </c>
      <c r="M1687" s="12">
        <v>145</v>
      </c>
      <c r="N1687" s="12">
        <v>1</v>
      </c>
      <c r="O1687" s="15"/>
      <c r="P1687" s="6">
        <v>40758.530590277776</v>
      </c>
      <c r="Q1687" s="11"/>
      <c r="R1687" s="17" t="s">
        <v>7071</v>
      </c>
      <c r="S1687" s="11"/>
      <c r="T1687" s="11"/>
      <c r="U1687" s="18" t="s">
        <v>168</v>
      </c>
    </row>
    <row r="1688" spans="1:21" ht="91.8">
      <c r="A1688" s="6">
        <v>43425.326412037037</v>
      </c>
      <c r="B1688" s="7" t="str">
        <f>HYPERLINK("https://twitter.com/elubarri22","@elubarri22")</f>
        <v>@elubarri22</v>
      </c>
      <c r="C1688" s="8" t="s">
        <v>4014</v>
      </c>
      <c r="D1688" s="9" t="s">
        <v>4015</v>
      </c>
      <c r="E1688" s="10" t="str">
        <f>HYPERLINK("https://twitter.com/elubarri22/status/1065271123020009472","1065271123020009472")</f>
        <v>1065271123020009472</v>
      </c>
      <c r="F1688" s="16" t="s">
        <v>4016</v>
      </c>
      <c r="G1688" s="11"/>
      <c r="H1688" s="11"/>
      <c r="I1688" s="12">
        <v>1</v>
      </c>
      <c r="J1688" s="12">
        <v>1</v>
      </c>
      <c r="K1688" s="13" t="str">
        <f>HYPERLINK("http://twitter.com/download/android","Twitter for Android")</f>
        <v>Twitter for Android</v>
      </c>
      <c r="L1688" s="12">
        <v>177</v>
      </c>
      <c r="M1688" s="12">
        <v>301</v>
      </c>
      <c r="N1688" s="12">
        <v>1</v>
      </c>
      <c r="O1688" s="15"/>
      <c r="P1688" s="6">
        <v>43385.397233796291</v>
      </c>
      <c r="Q1688" s="11"/>
      <c r="R1688" s="17" t="s">
        <v>4017</v>
      </c>
      <c r="S1688" s="11"/>
      <c r="T1688" s="11"/>
      <c r="U1688" s="10" t="str">
        <f>HYPERLINK("https://pbs.twimg.com/profile_images/1052199148911558656/rtI-mX2S.jpg","View")</f>
        <v>View</v>
      </c>
    </row>
    <row r="1689" spans="1:21" ht="30.6">
      <c r="A1689" s="6">
        <v>43425.326157407406</v>
      </c>
      <c r="B1689" s="7" t="str">
        <f>HYPERLINK("https://twitter.com/magraziareinoso","@magraziareinoso")</f>
        <v>@magraziareinoso</v>
      </c>
      <c r="C1689" s="8" t="s">
        <v>7072</v>
      </c>
      <c r="D1689" s="9" t="s">
        <v>7073</v>
      </c>
      <c r="E1689" s="10" t="str">
        <f>HYPERLINK("https://twitter.com/magraziareinoso/status/1065271032175620096","1065271032175620096")</f>
        <v>1065271032175620096</v>
      </c>
      <c r="F1689" s="16" t="s">
        <v>7074</v>
      </c>
      <c r="G1689" s="11"/>
      <c r="H1689" s="11"/>
      <c r="I1689" s="12">
        <v>0</v>
      </c>
      <c r="J1689" s="12">
        <v>2</v>
      </c>
      <c r="K1689" s="13" t="str">
        <f>HYPERLINK("http://twitter.com/#!/download/ipad","Twitter for iPad")</f>
        <v>Twitter for iPad</v>
      </c>
      <c r="L1689" s="12">
        <v>191</v>
      </c>
      <c r="M1689" s="12">
        <v>114</v>
      </c>
      <c r="N1689" s="12">
        <v>0</v>
      </c>
      <c r="O1689" s="15"/>
      <c r="P1689" s="6">
        <v>40927.796956018516</v>
      </c>
      <c r="Q1689" s="16" t="s">
        <v>7075</v>
      </c>
      <c r="R1689" s="17" t="s">
        <v>7076</v>
      </c>
      <c r="S1689" s="11"/>
      <c r="T1689" s="11"/>
      <c r="U1689" s="10" t="str">
        <f>HYPERLINK("https://pbs.twimg.com/profile_images/964959116673331200/GY272apT.jpg","View")</f>
        <v>View</v>
      </c>
    </row>
    <row r="1690" spans="1:21" ht="30.6">
      <c r="A1690" s="6">
        <v>43425.323506944449</v>
      </c>
      <c r="B1690" s="7" t="str">
        <f>HYPERLINK("https://twitter.com/QuiqueHerves","@QuiqueHerves")</f>
        <v>@QuiqueHerves</v>
      </c>
      <c r="C1690" s="8" t="s">
        <v>7077</v>
      </c>
      <c r="D1690" s="9" t="s">
        <v>7078</v>
      </c>
      <c r="E1690" s="10" t="str">
        <f>HYPERLINK("https://twitter.com/QuiqueHerves/status/1065270073538039811","1065270073538039811")</f>
        <v>1065270073538039811</v>
      </c>
      <c r="F1690" s="14" t="s">
        <v>7079</v>
      </c>
      <c r="G1690" s="11"/>
      <c r="H1690" s="11"/>
      <c r="I1690" s="12">
        <v>0</v>
      </c>
      <c r="J1690" s="12">
        <v>0</v>
      </c>
      <c r="K1690" s="13" t="str">
        <f>HYPERLINK("http://www.facebook.com/twitter","Facebook")</f>
        <v>Facebook</v>
      </c>
      <c r="L1690" s="12">
        <v>609</v>
      </c>
      <c r="M1690" s="12">
        <v>822</v>
      </c>
      <c r="N1690" s="12">
        <v>45</v>
      </c>
      <c r="O1690" s="15"/>
      <c r="P1690" s="6">
        <v>40347.195173611108</v>
      </c>
      <c r="Q1690" s="16" t="s">
        <v>7080</v>
      </c>
      <c r="R1690" s="17" t="s">
        <v>7081</v>
      </c>
      <c r="S1690" s="14" t="s">
        <v>7082</v>
      </c>
      <c r="T1690" s="11"/>
      <c r="U1690" s="10" t="str">
        <f>HYPERLINK("https://pbs.twimg.com/profile_images/1022752089322213376/FJbXgnA_.jpg","View")</f>
        <v>View</v>
      </c>
    </row>
    <row r="1691" spans="1:21" ht="40.799999999999997">
      <c r="A1691" s="6">
        <v>43425.320185185185</v>
      </c>
      <c r="B1691" s="7" t="str">
        <f>HYPERLINK("https://twitter.com/Nietzsbender","@Nietzsbender")</f>
        <v>@Nietzsbender</v>
      </c>
      <c r="C1691" s="8" t="s">
        <v>7083</v>
      </c>
      <c r="D1691" s="9" t="s">
        <v>7084</v>
      </c>
      <c r="E1691" s="10" t="str">
        <f>HYPERLINK("https://twitter.com/Nietzsbender/status/1065268869772791808","1065268869772791808")</f>
        <v>1065268869772791808</v>
      </c>
      <c r="F1691" s="11"/>
      <c r="G1691" s="11"/>
      <c r="H1691" s="11"/>
      <c r="I1691" s="12">
        <v>0</v>
      </c>
      <c r="J1691" s="12">
        <v>0</v>
      </c>
      <c r="K1691" s="13" t="str">
        <f>HYPERLINK("http://twitter.com/download/android","Twitter for Android")</f>
        <v>Twitter for Android</v>
      </c>
      <c r="L1691" s="12">
        <v>191</v>
      </c>
      <c r="M1691" s="12">
        <v>207</v>
      </c>
      <c r="N1691" s="12">
        <v>8</v>
      </c>
      <c r="O1691" s="15"/>
      <c r="P1691" s="6">
        <v>40725.424074074072</v>
      </c>
      <c r="Q1691" s="11"/>
      <c r="R1691" s="17" t="s">
        <v>7085</v>
      </c>
      <c r="S1691" s="11"/>
      <c r="T1691" s="11"/>
      <c r="U1691" s="10" t="str">
        <f>HYPERLINK("https://pbs.twimg.com/profile_images/984502087210995712/8hmWMHN8.jpg","View")</f>
        <v>View</v>
      </c>
    </row>
    <row r="1692" spans="1:21" ht="40.799999999999997">
      <c r="A1692" s="6">
        <v>43425.319733796292</v>
      </c>
      <c r="B1692" s="7" t="str">
        <f>HYPERLINK("https://twitter.com/goldmemories","@goldmemories")</f>
        <v>@goldmemories</v>
      </c>
      <c r="C1692" s="8" t="s">
        <v>7086</v>
      </c>
      <c r="D1692" s="9" t="s">
        <v>7087</v>
      </c>
      <c r="E1692" s="10" t="str">
        <f>HYPERLINK("https://twitter.com/goldmemories/status/1065268703682576384","1065268703682576384")</f>
        <v>1065268703682576384</v>
      </c>
      <c r="F1692" s="16" t="s">
        <v>7088</v>
      </c>
      <c r="G1692" s="14" t="s">
        <v>7089</v>
      </c>
      <c r="H1692" s="11"/>
      <c r="I1692" s="12">
        <v>0</v>
      </c>
      <c r="J1692" s="12">
        <v>1</v>
      </c>
      <c r="K1692" s="13" t="str">
        <f t="shared" ref="K1692:K1693" si="352">HYPERLINK("http://twitter.com","Twitter Web Client")</f>
        <v>Twitter Web Client</v>
      </c>
      <c r="L1692" s="12">
        <v>993</v>
      </c>
      <c r="M1692" s="12">
        <v>585</v>
      </c>
      <c r="N1692" s="12">
        <v>40</v>
      </c>
      <c r="O1692" s="15"/>
      <c r="P1692" s="6">
        <v>40655.353900462964</v>
      </c>
      <c r="Q1692" s="16" t="s">
        <v>7090</v>
      </c>
      <c r="R1692" s="17" t="s">
        <v>7091</v>
      </c>
      <c r="S1692" s="11"/>
      <c r="T1692" s="11"/>
      <c r="U1692" s="10" t="str">
        <f>HYPERLINK("https://pbs.twimg.com/profile_images/1062842341508177921/Ol85Hj9P.jpg","View")</f>
        <v>View</v>
      </c>
    </row>
    <row r="1693" spans="1:21" ht="61.2">
      <c r="A1693" s="6">
        <v>43425.31894675926</v>
      </c>
      <c r="B1693" s="7" t="str">
        <f>HYPERLINK("https://twitter.com/IUMORON","@IUMORON")</f>
        <v>@IUMORON</v>
      </c>
      <c r="C1693" s="8" t="s">
        <v>7092</v>
      </c>
      <c r="D1693" s="9" t="s">
        <v>7093</v>
      </c>
      <c r="E1693" s="10" t="str">
        <f>HYPERLINK("https://twitter.com/IUMORON/status/1065268420818755584","1065268420818755584")</f>
        <v>1065268420818755584</v>
      </c>
      <c r="F1693" s="11"/>
      <c r="G1693" s="14" t="s">
        <v>7094</v>
      </c>
      <c r="H1693" s="11"/>
      <c r="I1693" s="12">
        <v>0</v>
      </c>
      <c r="J1693" s="12">
        <v>0</v>
      </c>
      <c r="K1693" s="13" t="str">
        <f t="shared" si="352"/>
        <v>Twitter Web Client</v>
      </c>
      <c r="L1693" s="12">
        <v>390</v>
      </c>
      <c r="M1693" s="12">
        <v>315</v>
      </c>
      <c r="N1693" s="12">
        <v>16</v>
      </c>
      <c r="O1693" s="15"/>
      <c r="P1693" s="6">
        <v>41768.014560185184</v>
      </c>
      <c r="Q1693" s="11"/>
      <c r="R1693" s="17" t="s">
        <v>7095</v>
      </c>
      <c r="S1693" s="11"/>
      <c r="T1693" s="11"/>
      <c r="U1693" s="10" t="str">
        <f>HYPERLINK("https://pbs.twimg.com/profile_images/1042880387884756994/xC1WKIWA.jpg","View")</f>
        <v>View</v>
      </c>
    </row>
    <row r="1694" spans="1:21" ht="20.399999999999999">
      <c r="A1694" s="6">
        <v>43425.314282407402</v>
      </c>
      <c r="B1694" s="7" t="str">
        <f>HYPERLINK("https://twitter.com/ivanjimenez98","@ivanjimenez98")</f>
        <v>@ivanjimenez98</v>
      </c>
      <c r="C1694" s="8" t="s">
        <v>7096</v>
      </c>
      <c r="D1694" s="9" t="s">
        <v>7097</v>
      </c>
      <c r="E1694" s="10" t="str">
        <f>HYPERLINK("https://twitter.com/ivanjimenez98/status/1065266729918636032","1065266729918636032")</f>
        <v>1065266729918636032</v>
      </c>
      <c r="F1694" s="11"/>
      <c r="G1694" s="11"/>
      <c r="H1694" s="11"/>
      <c r="I1694" s="12">
        <v>0</v>
      </c>
      <c r="J1694" s="12">
        <v>1</v>
      </c>
      <c r="K1694" s="13" t="str">
        <f>HYPERLINK("http://twitter.com/download/android","Twitter for Android")</f>
        <v>Twitter for Android</v>
      </c>
      <c r="L1694" s="12">
        <v>311</v>
      </c>
      <c r="M1694" s="12">
        <v>322</v>
      </c>
      <c r="N1694" s="12">
        <v>0</v>
      </c>
      <c r="O1694" s="15"/>
      <c r="P1694" s="6">
        <v>40333.1402662037</v>
      </c>
      <c r="Q1694" s="16" t="s">
        <v>7098</v>
      </c>
      <c r="R1694" s="17" t="s">
        <v>7099</v>
      </c>
      <c r="S1694" s="11"/>
      <c r="T1694" s="11"/>
      <c r="U1694" s="10" t="str">
        <f>HYPERLINK("https://pbs.twimg.com/profile_images/818602446750674944/KHx3IfKt.jpg","View")</f>
        <v>View</v>
      </c>
    </row>
    <row r="1695" spans="1:21" ht="20.399999999999999">
      <c r="A1695" s="6">
        <v>43425.307395833333</v>
      </c>
      <c r="B1695" s="7" t="str">
        <f>HYPERLINK("https://twitter.com/adelacafe93","@adelacafe93")</f>
        <v>@adelacafe93</v>
      </c>
      <c r="C1695" s="8" t="s">
        <v>7100</v>
      </c>
      <c r="D1695" s="9" t="s">
        <v>6996</v>
      </c>
      <c r="E1695" s="10" t="str">
        <f>HYPERLINK("https://twitter.com/adelacafe93/status/1065264233426939905","1065264233426939905")</f>
        <v>1065264233426939905</v>
      </c>
      <c r="F1695" s="14" t="s">
        <v>7101</v>
      </c>
      <c r="G1695" s="11"/>
      <c r="H1695" s="11"/>
      <c r="I1695" s="12">
        <v>0</v>
      </c>
      <c r="J1695" s="12">
        <v>0</v>
      </c>
      <c r="K1695" s="13" t="str">
        <f>HYPERLINK("https://ifttt.com","IFTTT")</f>
        <v>IFTTT</v>
      </c>
      <c r="L1695" s="12">
        <v>18</v>
      </c>
      <c r="M1695" s="12">
        <v>47</v>
      </c>
      <c r="N1695" s="12">
        <v>0</v>
      </c>
      <c r="O1695" s="15"/>
      <c r="P1695" s="6">
        <v>42761.240034722221</v>
      </c>
      <c r="Q1695" s="16" t="s">
        <v>7102</v>
      </c>
      <c r="R1695" s="17" t="s">
        <v>7103</v>
      </c>
      <c r="S1695" s="11"/>
      <c r="T1695" s="11"/>
      <c r="U1695" s="10" t="str">
        <f>HYPERLINK("https://pbs.twimg.com/profile_images/824614694078013444/fkDV_Y0Z.jpg","View")</f>
        <v>View</v>
      </c>
    </row>
    <row r="1696" spans="1:21" ht="40.799999999999997">
      <c r="A1696" s="6">
        <v>43425.3050462963</v>
      </c>
      <c r="B1696" s="7" t="str">
        <f>HYPERLINK("https://twitter.com/AbaloDelgado","@AbaloDelgado")</f>
        <v>@AbaloDelgado</v>
      </c>
      <c r="C1696" s="8" t="s">
        <v>7104</v>
      </c>
      <c r="D1696" s="9" t="s">
        <v>7105</v>
      </c>
      <c r="E1696" s="10" t="str">
        <f>HYPERLINK("https://twitter.com/AbaloDelgado/status/1065263381521858563","1065263381521858563")</f>
        <v>1065263381521858563</v>
      </c>
      <c r="F1696" s="16" t="s">
        <v>7106</v>
      </c>
      <c r="G1696" s="11"/>
      <c r="H1696" s="11"/>
      <c r="I1696" s="12">
        <v>0</v>
      </c>
      <c r="J1696" s="12">
        <v>0</v>
      </c>
      <c r="K1696" s="13" t="str">
        <f>HYPERLINK("http://twitter.com/download/android","Twitter for Android")</f>
        <v>Twitter for Android</v>
      </c>
      <c r="L1696" s="12">
        <v>924</v>
      </c>
      <c r="M1696" s="12">
        <v>275</v>
      </c>
      <c r="N1696" s="12">
        <v>56</v>
      </c>
      <c r="O1696" s="15"/>
      <c r="P1696" s="6">
        <v>42049.307523148149</v>
      </c>
      <c r="Q1696" s="11"/>
      <c r="R1696" s="19"/>
      <c r="S1696" s="11"/>
      <c r="T1696" s="11"/>
      <c r="U1696" s="10" t="str">
        <f>HYPERLINK("https://pbs.twimg.com/profile_images/747444722432675845/gXK16cpA.jpg","View")</f>
        <v>View</v>
      </c>
    </row>
    <row r="1697" spans="1:21" ht="13.2">
      <c r="A1697" s="6">
        <v>43425.304398148146</v>
      </c>
      <c r="B1697" s="7" t="str">
        <f>HYPERLINK("https://twitter.com/titulares24hora","@titulares24hora")</f>
        <v>@titulares24hora</v>
      </c>
      <c r="C1697" s="8" t="s">
        <v>7107</v>
      </c>
      <c r="D1697" s="9" t="s">
        <v>6996</v>
      </c>
      <c r="E1697" s="10" t="str">
        <f>HYPERLINK("https://twitter.com/titulares24hora/status/1065263146921807872","1065263146921807872")</f>
        <v>1065263146921807872</v>
      </c>
      <c r="F1697" s="11"/>
      <c r="G1697" s="11"/>
      <c r="H1697" s="11"/>
      <c r="I1697" s="12">
        <v>0</v>
      </c>
      <c r="J1697" s="12">
        <v>0</v>
      </c>
      <c r="K1697" s="13" t="str">
        <f>HYPERLINK("https://ifttt.com","IFTTT")</f>
        <v>IFTTT</v>
      </c>
      <c r="L1697" s="12">
        <v>394</v>
      </c>
      <c r="M1697" s="12">
        <v>1463</v>
      </c>
      <c r="N1697" s="12">
        <v>2</v>
      </c>
      <c r="O1697" s="15"/>
      <c r="P1697" s="6">
        <v>42508.071805555555</v>
      </c>
      <c r="Q1697" s="11"/>
      <c r="R1697" s="17" t="s">
        <v>7109</v>
      </c>
      <c r="S1697" s="11"/>
      <c r="T1697" s="11"/>
      <c r="U1697" s="10" t="str">
        <f>HYPERLINK("https://pbs.twimg.com/profile_images/732855169034166272/A8O2LY2J.jpg","View")</f>
        <v>View</v>
      </c>
    </row>
    <row r="1698" spans="1:21" ht="81.599999999999994">
      <c r="A1698" s="6">
        <v>43425.303622685184</v>
      </c>
      <c r="B1698" s="7" t="str">
        <f>HYPERLINK("https://twitter.com/MARINELAVIDAL","@MARINELAVIDAL")</f>
        <v>@MARINELAVIDAL</v>
      </c>
      <c r="C1698" s="8" t="s">
        <v>4018</v>
      </c>
      <c r="D1698" s="9" t="s">
        <v>4019</v>
      </c>
      <c r="E1698" s="10" t="str">
        <f>HYPERLINK("https://twitter.com/MARINELAVIDAL/status/1065262865152729088","1065262865152729088")</f>
        <v>1065262865152729088</v>
      </c>
      <c r="F1698" s="16" t="s">
        <v>4020</v>
      </c>
      <c r="G1698" s="11"/>
      <c r="H1698" s="11"/>
      <c r="I1698" s="12">
        <v>1</v>
      </c>
      <c r="J1698" s="12">
        <v>1</v>
      </c>
      <c r="K1698" s="13" t="str">
        <f t="shared" ref="K1698:K1699" si="353">HYPERLINK("http://twitter.com","Twitter Web Client")</f>
        <v>Twitter Web Client</v>
      </c>
      <c r="L1698" s="12">
        <v>1603</v>
      </c>
      <c r="M1698" s="12">
        <v>3173</v>
      </c>
      <c r="N1698" s="12">
        <v>10</v>
      </c>
      <c r="O1698" s="15"/>
      <c r="P1698" s="6">
        <v>41379.244004629625</v>
      </c>
      <c r="Q1698" s="16" t="s">
        <v>4021</v>
      </c>
      <c r="R1698" s="17" t="s">
        <v>4022</v>
      </c>
      <c r="S1698" s="11"/>
      <c r="T1698" s="11"/>
      <c r="U1698" s="10" t="str">
        <f>HYPERLINK("https://pbs.twimg.com/profile_images/1036889064820154368/1jwipgHx.jpg","View")</f>
        <v>View</v>
      </c>
    </row>
    <row r="1699" spans="1:21" ht="20.399999999999999">
      <c r="A1699" s="6">
        <v>43425.302349537036</v>
      </c>
      <c r="B1699" s="7" t="str">
        <f>HYPERLINK("https://twitter.com/leonardoLHH","@leonardoLHH")</f>
        <v>@leonardoLHH</v>
      </c>
      <c r="C1699" s="8" t="s">
        <v>7112</v>
      </c>
      <c r="D1699" s="9" t="s">
        <v>7113</v>
      </c>
      <c r="E1699" s="10" t="str">
        <f>HYPERLINK("https://twitter.com/leonardoLHH/status/1065262402575482880","1065262402575482880")</f>
        <v>1065262402575482880</v>
      </c>
      <c r="F1699" s="16" t="s">
        <v>7114</v>
      </c>
      <c r="G1699" s="14" t="s">
        <v>7115</v>
      </c>
      <c r="H1699" s="11"/>
      <c r="I1699" s="12">
        <v>0</v>
      </c>
      <c r="J1699" s="12">
        <v>0</v>
      </c>
      <c r="K1699" s="13" t="str">
        <f t="shared" si="353"/>
        <v>Twitter Web Client</v>
      </c>
      <c r="L1699" s="12">
        <v>617</v>
      </c>
      <c r="M1699" s="12">
        <v>1129</v>
      </c>
      <c r="N1699" s="12">
        <v>3</v>
      </c>
      <c r="O1699" s="15"/>
      <c r="P1699" s="6">
        <v>40328.590358796297</v>
      </c>
      <c r="Q1699" s="16" t="s">
        <v>7117</v>
      </c>
      <c r="R1699" s="17" t="s">
        <v>7118</v>
      </c>
      <c r="S1699" s="11"/>
      <c r="T1699" s="11"/>
      <c r="U1699" s="10" t="str">
        <f>HYPERLINK("https://pbs.twimg.com/profile_images/741777100307320833/G1M6mW5L.jpg","View")</f>
        <v>View</v>
      </c>
    </row>
    <row r="1700" spans="1:21" ht="91.8">
      <c r="A1700" s="6">
        <v>43425.299004629633</v>
      </c>
      <c r="B1700" s="7" t="str">
        <f>HYPERLINK("https://twitter.com/_23Sergio","@_23Sergio")</f>
        <v>@_23Sergio</v>
      </c>
      <c r="C1700" s="8" t="s">
        <v>283</v>
      </c>
      <c r="D1700" s="9" t="s">
        <v>7119</v>
      </c>
      <c r="E1700" s="10" t="str">
        <f>HYPERLINK("https://twitter.com/_23Sergio/status/1065261192313298945","1065261192313298945")</f>
        <v>1065261192313298945</v>
      </c>
      <c r="F1700" s="16" t="s">
        <v>1078</v>
      </c>
      <c r="G1700" s="11"/>
      <c r="H1700" s="11"/>
      <c r="I1700" s="12">
        <v>6</v>
      </c>
      <c r="J1700" s="12">
        <v>2</v>
      </c>
      <c r="K1700" s="13" t="str">
        <f>HYPERLINK("http://twitter.com/download/android","Twitter for Android")</f>
        <v>Twitter for Android</v>
      </c>
      <c r="L1700" s="12">
        <v>1051</v>
      </c>
      <c r="M1700" s="12">
        <v>1094</v>
      </c>
      <c r="N1700" s="12">
        <v>12</v>
      </c>
      <c r="O1700" s="15"/>
      <c r="P1700" s="6">
        <v>40503.406458333331</v>
      </c>
      <c r="Q1700" s="16" t="s">
        <v>290</v>
      </c>
      <c r="R1700" s="17" t="s">
        <v>291</v>
      </c>
      <c r="S1700" s="11"/>
      <c r="T1700" s="11"/>
      <c r="U1700" s="10" t="str">
        <f>HYPERLINK("https://pbs.twimg.com/profile_images/959348744822157312/wUGKBFb3.jpg","View")</f>
        <v>View</v>
      </c>
    </row>
    <row r="1701" spans="1:21" ht="20.399999999999999">
      <c r="A1701" s="6">
        <v>43425.294641203705</v>
      </c>
      <c r="B1701" s="7" t="str">
        <f>HYPERLINK("https://twitter.com/KRMNRJO","@KRMNRJO")</f>
        <v>@KRMNRJO</v>
      </c>
      <c r="C1701" s="8" t="s">
        <v>7120</v>
      </c>
      <c r="D1701" s="9" t="s">
        <v>7121</v>
      </c>
      <c r="E1701" s="10" t="str">
        <f>HYPERLINK("https://twitter.com/KRMNRJO/status/1065259610339241984","1065259610339241984")</f>
        <v>1065259610339241984</v>
      </c>
      <c r="F1701" s="14" t="s">
        <v>5336</v>
      </c>
      <c r="G1701" s="11"/>
      <c r="H1701" s="11"/>
      <c r="I1701" s="12">
        <v>0</v>
      </c>
      <c r="J1701" s="12">
        <v>0</v>
      </c>
      <c r="K1701" s="13" t="str">
        <f>HYPERLINK("http://twitter.com","Twitter Web Client")</f>
        <v>Twitter Web Client</v>
      </c>
      <c r="L1701" s="12">
        <v>13</v>
      </c>
      <c r="M1701" s="12">
        <v>46</v>
      </c>
      <c r="N1701" s="12">
        <v>0</v>
      </c>
      <c r="O1701" s="15"/>
      <c r="P1701" s="6">
        <v>41246.236203703702</v>
      </c>
      <c r="Q1701" s="16" t="s">
        <v>3613</v>
      </c>
      <c r="R1701" s="17" t="s">
        <v>7122</v>
      </c>
      <c r="S1701" s="11"/>
      <c r="T1701" s="11"/>
      <c r="U1701" s="10" t="str">
        <f>HYPERLINK("https://pbs.twimg.com/profile_images/428799952509091841/7VY5Aubk.jpeg","View")</f>
        <v>View</v>
      </c>
    </row>
    <row r="1702" spans="1:21" ht="20.399999999999999">
      <c r="A1702" s="6">
        <v>43425.293368055558</v>
      </c>
      <c r="B1702" s="7" t="str">
        <f>HYPERLINK("https://twitter.com/lord_iniesta","@lord_iniesta")</f>
        <v>@lord_iniesta</v>
      </c>
      <c r="C1702" s="8" t="s">
        <v>7123</v>
      </c>
      <c r="D1702" s="9" t="s">
        <v>7124</v>
      </c>
      <c r="E1702" s="10" t="str">
        <f>HYPERLINK("https://twitter.com/lord_iniesta/status/1065259148508569600","1065259148508569600")</f>
        <v>1065259148508569600</v>
      </c>
      <c r="F1702" s="11"/>
      <c r="G1702" s="11"/>
      <c r="H1702" s="11"/>
      <c r="I1702" s="12">
        <v>0</v>
      </c>
      <c r="J1702" s="12">
        <v>0</v>
      </c>
      <c r="K1702" s="13" t="str">
        <f>HYPERLINK("http://twitter.com/download/android","Twitter for Android")</f>
        <v>Twitter for Android</v>
      </c>
      <c r="L1702" s="12">
        <v>915</v>
      </c>
      <c r="M1702" s="12">
        <v>315</v>
      </c>
      <c r="N1702" s="12">
        <v>31</v>
      </c>
      <c r="O1702" s="15"/>
      <c r="P1702" s="6">
        <v>40390.290347222224</v>
      </c>
      <c r="Q1702" s="16" t="s">
        <v>7125</v>
      </c>
      <c r="R1702" s="17" t="s">
        <v>7126</v>
      </c>
      <c r="S1702" s="11"/>
      <c r="T1702" s="11"/>
      <c r="U1702" s="10" t="str">
        <f>HYPERLINK("https://pbs.twimg.com/profile_images/1046923291548692482/SKbz2Jag.jpg","View")</f>
        <v>View</v>
      </c>
    </row>
    <row r="1703" spans="1:21" ht="40.799999999999997">
      <c r="A1703" s="6">
        <v>43425.292361111111</v>
      </c>
      <c r="B1703" s="7" t="str">
        <f>HYPERLINK("https://twitter.com/bitMomentum","@bitMomentum")</f>
        <v>@bitMomentum</v>
      </c>
      <c r="C1703" s="8" t="s">
        <v>1033</v>
      </c>
      <c r="D1703" s="9" t="s">
        <v>4025</v>
      </c>
      <c r="E1703" s="10" t="str">
        <f>HYPERLINK("https://twitter.com/bitMomentum/status/1065258783486685188","1065258783486685188")</f>
        <v>1065258783486685188</v>
      </c>
      <c r="F1703" s="11"/>
      <c r="G1703" s="11"/>
      <c r="H1703" s="11"/>
      <c r="I1703" s="12">
        <v>0</v>
      </c>
      <c r="J1703" s="12">
        <v>0</v>
      </c>
      <c r="K1703" s="13" t="str">
        <f>HYPERLINK("http://www.bitmomentum.com","bitMomentum Bot")</f>
        <v>bitMomentum Bot</v>
      </c>
      <c r="L1703" s="12">
        <v>10132</v>
      </c>
      <c r="M1703" s="12">
        <v>1060</v>
      </c>
      <c r="N1703" s="12">
        <v>267</v>
      </c>
      <c r="O1703" s="15"/>
      <c r="P1703" s="6">
        <v>41608.292511574073</v>
      </c>
      <c r="Q1703" s="11"/>
      <c r="R1703" s="17" t="s">
        <v>1038</v>
      </c>
      <c r="S1703" s="14" t="s">
        <v>1039</v>
      </c>
      <c r="T1703" s="11"/>
      <c r="U1703" s="10" t="str">
        <f>HYPERLINK("https://pbs.twimg.com/profile_images/378800000862185241/20ij2H3u.png","View")</f>
        <v>View</v>
      </c>
    </row>
    <row r="1704" spans="1:21" ht="51">
      <c r="A1704" s="6">
        <v>43425.29106481481</v>
      </c>
      <c r="B1704" s="7" t="str">
        <f>HYPERLINK("https://twitter.com/nacho_etche","@nacho_etche")</f>
        <v>@nacho_etche</v>
      </c>
      <c r="C1704" s="8" t="s">
        <v>7127</v>
      </c>
      <c r="D1704" s="9" t="s">
        <v>7128</v>
      </c>
      <c r="E1704" s="10" t="str">
        <f>HYPERLINK("https://twitter.com/nacho_etche/status/1065258317109325824","1065258317109325824")</f>
        <v>1065258317109325824</v>
      </c>
      <c r="F1704" s="16" t="s">
        <v>7129</v>
      </c>
      <c r="G1704" s="11"/>
      <c r="H1704" s="11"/>
      <c r="I1704" s="12">
        <v>0</v>
      </c>
      <c r="J1704" s="12">
        <v>1</v>
      </c>
      <c r="K1704" s="13" t="str">
        <f>HYPERLINK("https://mobile.twitter.com","Twitter Lite")</f>
        <v>Twitter Lite</v>
      </c>
      <c r="L1704" s="12">
        <v>309</v>
      </c>
      <c r="M1704" s="12">
        <v>547</v>
      </c>
      <c r="N1704" s="12">
        <v>3</v>
      </c>
      <c r="O1704" s="15"/>
      <c r="P1704" s="6">
        <v>40810.246736111112</v>
      </c>
      <c r="Q1704" s="11"/>
      <c r="R1704" s="17" t="s">
        <v>7130</v>
      </c>
      <c r="S1704" s="11"/>
      <c r="T1704" s="11"/>
      <c r="U1704" s="10" t="str">
        <f>HYPERLINK("https://pbs.twimg.com/profile_images/783966285726093312/jxqDiLRm.jpg","View")</f>
        <v>View</v>
      </c>
    </row>
    <row r="1705" spans="1:21" ht="30.6">
      <c r="A1705" s="6">
        <v>43425.288715277777</v>
      </c>
      <c r="B1705" s="7" t="str">
        <f>HYPERLINK("https://twitter.com/catymu2","@catymu2")</f>
        <v>@catymu2</v>
      </c>
      <c r="C1705" s="8" t="s">
        <v>7131</v>
      </c>
      <c r="D1705" s="9" t="s">
        <v>7058</v>
      </c>
      <c r="E1705" s="10" t="str">
        <f>HYPERLINK("https://twitter.com/catymu2/status/1065257462977257472","1065257462977257472")</f>
        <v>1065257462977257472</v>
      </c>
      <c r="F1705" s="14" t="s">
        <v>7059</v>
      </c>
      <c r="G1705" s="11"/>
      <c r="H1705" s="11"/>
      <c r="I1705" s="12">
        <v>0</v>
      </c>
      <c r="J1705" s="12">
        <v>0</v>
      </c>
      <c r="K1705" s="13" t="str">
        <f>HYPERLINK("http://twitter.com","Twitter Web Client")</f>
        <v>Twitter Web Client</v>
      </c>
      <c r="L1705" s="12">
        <v>43</v>
      </c>
      <c r="M1705" s="12">
        <v>128</v>
      </c>
      <c r="N1705" s="12">
        <v>0</v>
      </c>
      <c r="O1705" s="15"/>
      <c r="P1705" s="6">
        <v>42432.081226851849</v>
      </c>
      <c r="Q1705" s="16" t="s">
        <v>28</v>
      </c>
      <c r="R1705" s="19"/>
      <c r="S1705" s="11"/>
      <c r="T1705" s="11"/>
      <c r="U1705" s="10" t="str">
        <f>HYPERLINK("https://pbs.twimg.com/profile_images/1009103258785402882/34q9w8XC.jpg","View")</f>
        <v>View</v>
      </c>
    </row>
    <row r="1706" spans="1:21" ht="30.6">
      <c r="A1706" s="6">
        <v>43425.288657407407</v>
      </c>
      <c r="B1706" s="7" t="str">
        <f>HYPERLINK("https://twitter.com/DaiGurrenK","@DaiGurrenK")</f>
        <v>@DaiGurrenK</v>
      </c>
      <c r="C1706" s="8" t="s">
        <v>7132</v>
      </c>
      <c r="D1706" s="9" t="s">
        <v>7133</v>
      </c>
      <c r="E1706" s="10" t="str">
        <f>HYPERLINK("https://twitter.com/DaiGurrenK/status/1065257441988874240","1065257441988874240")</f>
        <v>1065257441988874240</v>
      </c>
      <c r="F1706" s="16" t="s">
        <v>7134</v>
      </c>
      <c r="G1706" s="11"/>
      <c r="H1706" s="11"/>
      <c r="I1706" s="12">
        <v>0</v>
      </c>
      <c r="J1706" s="12">
        <v>0</v>
      </c>
      <c r="K1706" s="13" t="str">
        <f>HYPERLINK("http://twitter.com/download/android","Twitter for Android")</f>
        <v>Twitter for Android</v>
      </c>
      <c r="L1706" s="12">
        <v>73</v>
      </c>
      <c r="M1706" s="12">
        <v>167</v>
      </c>
      <c r="N1706" s="12">
        <v>0</v>
      </c>
      <c r="O1706" s="15"/>
      <c r="P1706" s="6">
        <v>42611.708125000005</v>
      </c>
      <c r="Q1706" s="16" t="s">
        <v>7135</v>
      </c>
      <c r="R1706" s="17" t="s">
        <v>7136</v>
      </c>
      <c r="S1706" s="11"/>
      <c r="T1706" s="11"/>
      <c r="U1706" s="10" t="str">
        <f>HYPERLINK("https://pbs.twimg.com/profile_images/992141706945531904/wwjX5PPX.jpg","View")</f>
        <v>View</v>
      </c>
    </row>
    <row r="1707" spans="1:21" ht="40.799999999999997">
      <c r="A1707" s="6">
        <v>43425.286863425921</v>
      </c>
      <c r="B1707" s="7" t="str">
        <f>HYPERLINK("https://twitter.com/PlazaPodemos","@PlazaPodemos")</f>
        <v>@PlazaPodemos</v>
      </c>
      <c r="C1707" s="8" t="s">
        <v>6982</v>
      </c>
      <c r="D1707" s="9" t="s">
        <v>7137</v>
      </c>
      <c r="E1707" s="10" t="str">
        <f>HYPERLINK("https://twitter.com/PlazaPodemos/status/1065256790969933824","1065256790969933824")</f>
        <v>1065256790969933824</v>
      </c>
      <c r="F1707" s="14" t="s">
        <v>7138</v>
      </c>
      <c r="G1707" s="11"/>
      <c r="H1707" s="11"/>
      <c r="I1707" s="12">
        <v>0</v>
      </c>
      <c r="J1707" s="12">
        <v>0</v>
      </c>
      <c r="K1707" s="13" t="str">
        <f>HYPERLINK("https://dlvrit.com/","dlvr.it")</f>
        <v>dlvr.it</v>
      </c>
      <c r="L1707" s="12">
        <v>8567</v>
      </c>
      <c r="M1707" s="12">
        <v>788</v>
      </c>
      <c r="N1707" s="12">
        <v>113</v>
      </c>
      <c r="O1707" s="15"/>
      <c r="P1707" s="6">
        <v>41844.245671296296</v>
      </c>
      <c r="Q1707" s="11"/>
      <c r="R1707" s="17" t="s">
        <v>6986</v>
      </c>
      <c r="S1707" s="14" t="s">
        <v>6987</v>
      </c>
      <c r="T1707" s="11"/>
      <c r="U1707" s="10" t="str">
        <f>HYPERLINK("https://pbs.twimg.com/profile_images/809422028625346560/BFJc_1PV.jpg","View")</f>
        <v>View</v>
      </c>
    </row>
    <row r="1708" spans="1:21" ht="71.400000000000006">
      <c r="A1708" s="6">
        <v>43425.285416666666</v>
      </c>
      <c r="B1708" s="7" t="str">
        <f>HYPERLINK("https://twitter.com/manuelcavada2","@manuelcavada2")</f>
        <v>@manuelcavada2</v>
      </c>
      <c r="C1708" s="8" t="s">
        <v>7139</v>
      </c>
      <c r="D1708" s="9" t="s">
        <v>7140</v>
      </c>
      <c r="E1708" s="10" t="str">
        <f>HYPERLINK("https://twitter.com/manuelcavada2/status/1065256269509001216","1065256269509001216")</f>
        <v>1065256269509001216</v>
      </c>
      <c r="F1708" s="16" t="s">
        <v>7141</v>
      </c>
      <c r="G1708" s="11"/>
      <c r="H1708" s="11"/>
      <c r="I1708" s="12">
        <v>0</v>
      </c>
      <c r="J1708" s="12">
        <v>0</v>
      </c>
      <c r="K1708" s="13" t="str">
        <f t="shared" ref="K1708:K1711" si="354">HYPERLINK("http://twitter.com","Twitter Web Client")</f>
        <v>Twitter Web Client</v>
      </c>
      <c r="L1708" s="12">
        <v>244</v>
      </c>
      <c r="M1708" s="12">
        <v>2456</v>
      </c>
      <c r="N1708" s="12">
        <v>1</v>
      </c>
      <c r="O1708" s="15"/>
      <c r="P1708" s="6">
        <v>41897.610185185185</v>
      </c>
      <c r="Q1708" s="11"/>
      <c r="R1708" s="19"/>
      <c r="S1708" s="11"/>
      <c r="T1708" s="11"/>
      <c r="U1708" s="10" t="str">
        <f>HYPERLINK("https://pbs.twimg.com/profile_images/961276745088487424/ctbPUjlp.jpg","View")</f>
        <v>View</v>
      </c>
    </row>
    <row r="1709" spans="1:21" ht="91.8">
      <c r="A1709" s="6">
        <v>43425.28524305555</v>
      </c>
      <c r="B1709" s="7" t="str">
        <f>HYPERLINK("https://twitter.com/carpetano","@carpetano")</f>
        <v>@carpetano</v>
      </c>
      <c r="C1709" s="8" t="s">
        <v>7142</v>
      </c>
      <c r="D1709" s="9" t="s">
        <v>7143</v>
      </c>
      <c r="E1709" s="10" t="str">
        <f>HYPERLINK("https://twitter.com/carpetano/status/1065256203582885888","1065256203582885888")</f>
        <v>1065256203582885888</v>
      </c>
      <c r="F1709" s="16" t="s">
        <v>7144</v>
      </c>
      <c r="G1709" s="14" t="s">
        <v>7145</v>
      </c>
      <c r="H1709" s="11"/>
      <c r="I1709" s="12">
        <v>2</v>
      </c>
      <c r="J1709" s="12">
        <v>1</v>
      </c>
      <c r="K1709" s="13" t="str">
        <f t="shared" si="354"/>
        <v>Twitter Web Client</v>
      </c>
      <c r="L1709" s="12">
        <v>2718</v>
      </c>
      <c r="M1709" s="12">
        <v>3282</v>
      </c>
      <c r="N1709" s="12">
        <v>85</v>
      </c>
      <c r="O1709" s="15"/>
      <c r="P1709" s="6">
        <v>40321.500590277778</v>
      </c>
      <c r="Q1709" s="16" t="s">
        <v>7146</v>
      </c>
      <c r="R1709" s="17" t="s">
        <v>7147</v>
      </c>
      <c r="S1709" s="14" t="s">
        <v>7148</v>
      </c>
      <c r="T1709" s="11"/>
      <c r="U1709" s="10" t="str">
        <f>HYPERLINK("https://pbs.twimg.com/profile_images/910214253768007681/IbDUBa4p.jpg","View")</f>
        <v>View</v>
      </c>
    </row>
    <row r="1710" spans="1:21" ht="30.6">
      <c r="A1710" s="6">
        <v>43425.283576388887</v>
      </c>
      <c r="B1710" s="7" t="str">
        <f>HYPERLINK("https://twitter.com/quiquellanas","@quiquellanas")</f>
        <v>@quiquellanas</v>
      </c>
      <c r="C1710" s="8" t="s">
        <v>7149</v>
      </c>
      <c r="D1710" s="9" t="s">
        <v>7150</v>
      </c>
      <c r="E1710" s="10" t="str">
        <f>HYPERLINK("https://twitter.com/quiquellanas/status/1065255603302473730","1065255603302473730")</f>
        <v>1065255603302473730</v>
      </c>
      <c r="F1710" s="14" t="s">
        <v>4079</v>
      </c>
      <c r="G1710" s="11"/>
      <c r="H1710" s="11"/>
      <c r="I1710" s="12">
        <v>0</v>
      </c>
      <c r="J1710" s="12">
        <v>0</v>
      </c>
      <c r="K1710" s="13" t="str">
        <f t="shared" si="354"/>
        <v>Twitter Web Client</v>
      </c>
      <c r="L1710" s="12">
        <v>107</v>
      </c>
      <c r="M1710" s="12">
        <v>281</v>
      </c>
      <c r="N1710" s="12">
        <v>3</v>
      </c>
      <c r="O1710" s="15"/>
      <c r="P1710" s="6">
        <v>40460.373240740737</v>
      </c>
      <c r="Q1710" s="16" t="s">
        <v>116</v>
      </c>
      <c r="R1710" s="17" t="s">
        <v>7151</v>
      </c>
      <c r="S1710" s="11"/>
      <c r="T1710" s="11"/>
      <c r="U1710" s="10" t="str">
        <f>HYPERLINK("https://pbs.twimg.com/profile_images/984039544055091200/ODlYQSFC.jpg","View")</f>
        <v>View</v>
      </c>
    </row>
    <row r="1711" spans="1:21" ht="40.799999999999997">
      <c r="A1711" s="6">
        <v>43425.283541666664</v>
      </c>
      <c r="B1711" s="7" t="str">
        <f>HYPERLINK("https://twitter.com/Pablo_Iglesias_","@Pablo_Iglesias_")</f>
        <v>@Pablo_Iglesias_</v>
      </c>
      <c r="C1711" s="8" t="s">
        <v>383</v>
      </c>
      <c r="D1711" s="9" t="s">
        <v>7152</v>
      </c>
      <c r="E1711" s="10" t="str">
        <f>HYPERLINK("https://twitter.com/Pablo_Iglesias_/status/1065255588316307461","1065255588316307461")</f>
        <v>1065255588316307461</v>
      </c>
      <c r="F1711" s="14" t="s">
        <v>7153</v>
      </c>
      <c r="G1711" s="14" t="s">
        <v>7145</v>
      </c>
      <c r="H1711" s="11"/>
      <c r="I1711" s="12">
        <v>225</v>
      </c>
      <c r="J1711" s="12">
        <v>377</v>
      </c>
      <c r="K1711" s="13" t="str">
        <f t="shared" si="354"/>
        <v>Twitter Web Client</v>
      </c>
      <c r="L1711" s="12">
        <v>2240182</v>
      </c>
      <c r="M1711" s="12">
        <v>2735</v>
      </c>
      <c r="N1711" s="12">
        <v>8469</v>
      </c>
      <c r="O1711" s="18" t="s">
        <v>52</v>
      </c>
      <c r="P1711" s="6">
        <v>40351.200300925928</v>
      </c>
      <c r="Q1711" s="16" t="s">
        <v>38</v>
      </c>
      <c r="R1711" s="17" t="s">
        <v>389</v>
      </c>
      <c r="S1711" s="14" t="s">
        <v>58</v>
      </c>
      <c r="T1711" s="11"/>
      <c r="U1711" s="10" t="str">
        <f>HYPERLINK("https://pbs.twimg.com/profile_images/902223370569338884/dL2D2A5P.jpg","View")</f>
        <v>View</v>
      </c>
    </row>
    <row r="1712" spans="1:21" ht="13.2">
      <c r="A1712" s="6">
        <v>43425.283437499995</v>
      </c>
      <c r="B1712" s="7" t="str">
        <f>HYPERLINK("https://twitter.com/amurga1","@amurga1")</f>
        <v>@amurga1</v>
      </c>
      <c r="C1712" s="8" t="s">
        <v>7154</v>
      </c>
      <c r="D1712" s="9" t="s">
        <v>7155</v>
      </c>
      <c r="E1712" s="10" t="str">
        <f>HYPERLINK("https://twitter.com/amurga1/status/1065255550286524416","1065255550286524416")</f>
        <v>1065255550286524416</v>
      </c>
      <c r="F1712" s="14" t="s">
        <v>6622</v>
      </c>
      <c r="G1712" s="11"/>
      <c r="H1712" s="11"/>
      <c r="I1712" s="12">
        <v>0</v>
      </c>
      <c r="J1712" s="12">
        <v>0</v>
      </c>
      <c r="K1712" s="13" t="str">
        <f t="shared" ref="K1712:K1713" si="355">HYPERLINK("http://twitter.com/download/android","Twitter for Android")</f>
        <v>Twitter for Android</v>
      </c>
      <c r="L1712" s="12">
        <v>220</v>
      </c>
      <c r="M1712" s="12">
        <v>321</v>
      </c>
      <c r="N1712" s="12">
        <v>14</v>
      </c>
      <c r="O1712" s="15"/>
      <c r="P1712" s="6">
        <v>42516.445011574076</v>
      </c>
      <c r="Q1712" s="11"/>
      <c r="R1712" s="19"/>
      <c r="S1712" s="11"/>
      <c r="T1712" s="11"/>
      <c r="U1712" s="10" t="str">
        <f>HYPERLINK("https://pbs.twimg.com/profile_images/828763271297654784/kxsxSDCX.jpg","View")</f>
        <v>View</v>
      </c>
    </row>
    <row r="1713" spans="1:21" ht="81.599999999999994">
      <c r="A1713" s="6">
        <v>43425.283206018517</v>
      </c>
      <c r="B1713" s="7" t="str">
        <f>HYPERLINK("https://twitter.com/elubarri22","@elubarri22")</f>
        <v>@elubarri22</v>
      </c>
      <c r="C1713" s="8" t="s">
        <v>4014</v>
      </c>
      <c r="D1713" s="9" t="s">
        <v>4030</v>
      </c>
      <c r="E1713" s="10" t="str">
        <f>HYPERLINK("https://twitter.com/elubarri22/status/1065255468870848512","1065255468870848512")</f>
        <v>1065255468870848512</v>
      </c>
      <c r="F1713" s="14" t="s">
        <v>4031</v>
      </c>
      <c r="G1713" s="11"/>
      <c r="H1713" s="11"/>
      <c r="I1713" s="12">
        <v>1</v>
      </c>
      <c r="J1713" s="12">
        <v>1</v>
      </c>
      <c r="K1713" s="13" t="str">
        <f t="shared" si="355"/>
        <v>Twitter for Android</v>
      </c>
      <c r="L1713" s="12">
        <v>177</v>
      </c>
      <c r="M1713" s="12">
        <v>301</v>
      </c>
      <c r="N1713" s="12">
        <v>1</v>
      </c>
      <c r="O1713" s="15"/>
      <c r="P1713" s="6">
        <v>43385.397233796291</v>
      </c>
      <c r="Q1713" s="11"/>
      <c r="R1713" s="17" t="s">
        <v>4017</v>
      </c>
      <c r="S1713" s="11"/>
      <c r="T1713" s="11"/>
      <c r="U1713" s="10" t="str">
        <f>HYPERLINK("https://pbs.twimg.com/profile_images/1052199148911558656/rtI-mX2S.jpg","View")</f>
        <v>View</v>
      </c>
    </row>
    <row r="1714" spans="1:21" ht="20.399999999999999">
      <c r="A1714" s="6">
        <v>43425.282372685186</v>
      </c>
      <c r="B1714" s="7" t="str">
        <f>HYPERLINK("https://twitter.com/PoderopediaVe","@PoderopediaVe")</f>
        <v>@PoderopediaVe</v>
      </c>
      <c r="C1714" s="8" t="s">
        <v>7156</v>
      </c>
      <c r="D1714" s="9" t="s">
        <v>7157</v>
      </c>
      <c r="E1714" s="10" t="str">
        <f>HYPERLINK("https://twitter.com/PoderopediaVe/status/1065255166826422272","1065255166826422272")</f>
        <v>1065255166826422272</v>
      </c>
      <c r="F1714" s="14" t="s">
        <v>7158</v>
      </c>
      <c r="G1714" s="14" t="s">
        <v>7159</v>
      </c>
      <c r="H1714" s="11"/>
      <c r="I1714" s="12">
        <v>1</v>
      </c>
      <c r="J1714" s="12">
        <v>0</v>
      </c>
      <c r="K1714" s="13" t="str">
        <f>HYPERLINK("http://twitter.com/download/iphone","Twitter for iPhone")</f>
        <v>Twitter for iPhone</v>
      </c>
      <c r="L1714" s="12">
        <v>32869</v>
      </c>
      <c r="M1714" s="12">
        <v>5056</v>
      </c>
      <c r="N1714" s="12">
        <v>314</v>
      </c>
      <c r="O1714" s="15"/>
      <c r="P1714" s="6">
        <v>41755.449120370373</v>
      </c>
      <c r="Q1714" s="16" t="s">
        <v>620</v>
      </c>
      <c r="R1714" s="17" t="s">
        <v>7160</v>
      </c>
      <c r="S1714" s="14" t="s">
        <v>7161</v>
      </c>
      <c r="T1714" s="11"/>
      <c r="U1714" s="10" t="str">
        <f>HYPERLINK("https://pbs.twimg.com/profile_images/676773899808346112/TsRPARF7.png","View")</f>
        <v>View</v>
      </c>
    </row>
    <row r="1715" spans="1:21" ht="30.6">
      <c r="A1715" s="6">
        <v>43425.280555555553</v>
      </c>
      <c r="B1715" s="7" t="str">
        <f>HYPERLINK("https://twitter.com/cronicaglobal","@cronicaglobal")</f>
        <v>@cronicaglobal</v>
      </c>
      <c r="C1715" s="8" t="s">
        <v>7162</v>
      </c>
      <c r="D1715" s="9" t="s">
        <v>7163</v>
      </c>
      <c r="E1715" s="10" t="str">
        <f>HYPERLINK("https://twitter.com/cronicaglobal/status/1065254506017878017","1065254506017878017")</f>
        <v>1065254506017878017</v>
      </c>
      <c r="F1715" s="14" t="s">
        <v>7164</v>
      </c>
      <c r="G1715" s="11"/>
      <c r="H1715" s="11"/>
      <c r="I1715" s="12">
        <v>0</v>
      </c>
      <c r="J1715" s="12">
        <v>2</v>
      </c>
      <c r="K1715" s="13" t="str">
        <f>HYPERLINK("https://about.twitter.com/products/tweetdeck","TweetDeck")</f>
        <v>TweetDeck</v>
      </c>
      <c r="L1715" s="12">
        <v>33625</v>
      </c>
      <c r="M1715" s="12">
        <v>14011</v>
      </c>
      <c r="N1715" s="12">
        <v>734</v>
      </c>
      <c r="O1715" s="18" t="s">
        <v>52</v>
      </c>
      <c r="P1715" s="6">
        <v>40095.161770833336</v>
      </c>
      <c r="Q1715" s="16" t="s">
        <v>256</v>
      </c>
      <c r="R1715" s="17" t="s">
        <v>7165</v>
      </c>
      <c r="S1715" s="14" t="s">
        <v>7166</v>
      </c>
      <c r="T1715" s="11"/>
      <c r="U1715" s="10" t="str">
        <f>HYPERLINK("https://pbs.twimg.com/profile_images/950307027389165573/hJwYO6Bw.jpg","View")</f>
        <v>View</v>
      </c>
    </row>
    <row r="1716" spans="1:21" ht="20.399999999999999">
      <c r="A1716" s="6">
        <v>43425.280034722222</v>
      </c>
      <c r="B1716" s="7" t="str">
        <f>HYPERLINK("https://twitter.com/AticaEmporda","@AticaEmporda")</f>
        <v>@AticaEmporda</v>
      </c>
      <c r="C1716" s="8" t="s">
        <v>7167</v>
      </c>
      <c r="D1716" s="9" t="s">
        <v>7168</v>
      </c>
      <c r="E1716" s="10" t="str">
        <f>HYPERLINK("https://twitter.com/AticaEmporda/status/1065254316552921090","1065254316552921090")</f>
        <v>1065254316552921090</v>
      </c>
      <c r="F1716" s="14" t="s">
        <v>7169</v>
      </c>
      <c r="G1716" s="11"/>
      <c r="H1716" s="11"/>
      <c r="I1716" s="12">
        <v>0</v>
      </c>
      <c r="J1716" s="12">
        <v>0</v>
      </c>
      <c r="K1716" s="13" t="str">
        <f>HYPERLINK("https://www.google.com/","Google")</f>
        <v>Google</v>
      </c>
      <c r="L1716" s="12">
        <v>1517</v>
      </c>
      <c r="M1716" s="12">
        <v>2014</v>
      </c>
      <c r="N1716" s="12">
        <v>36</v>
      </c>
      <c r="O1716" s="15"/>
      <c r="P1716" s="6">
        <v>40847.391018518516</v>
      </c>
      <c r="Q1716" s="16" t="s">
        <v>7170</v>
      </c>
      <c r="R1716" s="17" t="s">
        <v>7171</v>
      </c>
      <c r="S1716" s="14" t="s">
        <v>7172</v>
      </c>
      <c r="T1716" s="11"/>
      <c r="U1716" s="10" t="str">
        <f>HYPERLINK("https://pbs.twimg.com/profile_images/693797403351191552/GKgDi4_z.jpg","View")</f>
        <v>View</v>
      </c>
    </row>
    <row r="1717" spans="1:21" ht="40.799999999999997">
      <c r="A1717" s="6">
        <v>43425.277835648143</v>
      </c>
      <c r="B1717" s="7" t="str">
        <f>HYPERLINK("https://twitter.com/El_AnalistaCF","@El_AnalistaCF")</f>
        <v>@El_AnalistaCF</v>
      </c>
      <c r="C1717" s="8" t="s">
        <v>4038</v>
      </c>
      <c r="D1717" s="9" t="s">
        <v>4039</v>
      </c>
      <c r="E1717" s="10" t="str">
        <f>HYPERLINK("https://twitter.com/El_AnalistaCF/status/1065253520818008069","1065253520818008069")</f>
        <v>1065253520818008069</v>
      </c>
      <c r="F1717" s="11"/>
      <c r="G1717" s="11"/>
      <c r="H1717" s="11"/>
      <c r="I1717" s="12">
        <v>0</v>
      </c>
      <c r="J1717" s="12">
        <v>0</v>
      </c>
      <c r="K1717" s="13" t="str">
        <f>HYPERLINK("http://twitter.com/download/iphone","Twitter for iPhone")</f>
        <v>Twitter for iPhone</v>
      </c>
      <c r="L1717" s="12">
        <v>10</v>
      </c>
      <c r="M1717" s="12">
        <v>126</v>
      </c>
      <c r="N1717" s="12">
        <v>0</v>
      </c>
      <c r="O1717" s="15"/>
      <c r="P1717" s="6">
        <v>43381.460138888884</v>
      </c>
      <c r="Q1717" s="16" t="s">
        <v>407</v>
      </c>
      <c r="R1717" s="17" t="s">
        <v>4044</v>
      </c>
      <c r="S1717" s="11"/>
      <c r="T1717" s="11"/>
      <c r="U1717" s="10" t="str">
        <f>HYPERLINK("https://pbs.twimg.com/profile_images/1049361947056119809/Phx9XsAd.jpg","View")</f>
        <v>View</v>
      </c>
    </row>
    <row r="1718" spans="1:21" ht="20.399999999999999">
      <c r="A1718" s="6">
        <v>43425.277592592596</v>
      </c>
      <c r="B1718" s="7" t="str">
        <f>HYPERLINK("https://twitter.com/finy1343","@finy1343")</f>
        <v>@finy1343</v>
      </c>
      <c r="C1718" s="8" t="s">
        <v>7173</v>
      </c>
      <c r="D1718" s="9" t="s">
        <v>7174</v>
      </c>
      <c r="E1718" s="10" t="str">
        <f>HYPERLINK("https://twitter.com/finy1343/status/1065253432280473600","1065253432280473600")</f>
        <v>1065253432280473600</v>
      </c>
      <c r="F1718" s="14" t="s">
        <v>7175</v>
      </c>
      <c r="G1718" s="11"/>
      <c r="H1718" s="11"/>
      <c r="I1718" s="12">
        <v>0</v>
      </c>
      <c r="J1718" s="12">
        <v>0</v>
      </c>
      <c r="K1718" s="13" t="str">
        <f t="shared" ref="K1718:K1719" si="356">HYPERLINK("http://twitter.com","Twitter Web Client")</f>
        <v>Twitter Web Client</v>
      </c>
      <c r="L1718" s="12">
        <v>116</v>
      </c>
      <c r="M1718" s="12">
        <v>233</v>
      </c>
      <c r="N1718" s="12">
        <v>10</v>
      </c>
      <c r="O1718" s="15"/>
      <c r="P1718" s="6">
        <v>41328.622743055559</v>
      </c>
      <c r="Q1718" s="16" t="s">
        <v>7176</v>
      </c>
      <c r="R1718" s="17" t="s">
        <v>7177</v>
      </c>
      <c r="S1718" s="11"/>
      <c r="T1718" s="11"/>
      <c r="U1718" s="10" t="str">
        <f>HYPERLINK("https://pbs.twimg.com/profile_images/477984997442588672/qZ_BofA9.jpeg","View")</f>
        <v>View</v>
      </c>
    </row>
    <row r="1719" spans="1:21" ht="112.2">
      <c r="A1719" s="6">
        <v>43425.277442129634</v>
      </c>
      <c r="B1719" s="7" t="str">
        <f>HYPERLINK("https://twitter.com/AlmirBlasDeLezo","@AlmirBlasDeLezo")</f>
        <v>@AlmirBlasDeLezo</v>
      </c>
      <c r="C1719" s="8" t="s">
        <v>7178</v>
      </c>
      <c r="D1719" s="9" t="s">
        <v>7179</v>
      </c>
      <c r="E1719" s="10" t="str">
        <f>HYPERLINK("https://twitter.com/AlmirBlasDeLezo/status/1065253378366803969","1065253378366803969")</f>
        <v>1065253378366803969</v>
      </c>
      <c r="F1719" s="14" t="s">
        <v>7180</v>
      </c>
      <c r="G1719" s="14" t="s">
        <v>7181</v>
      </c>
      <c r="H1719" s="11"/>
      <c r="I1719" s="12">
        <v>1</v>
      </c>
      <c r="J1719" s="12">
        <v>1</v>
      </c>
      <c r="K1719" s="13" t="str">
        <f t="shared" si="356"/>
        <v>Twitter Web Client</v>
      </c>
      <c r="L1719" s="12">
        <v>1991</v>
      </c>
      <c r="M1719" s="12">
        <v>2548</v>
      </c>
      <c r="N1719" s="12">
        <v>11</v>
      </c>
      <c r="O1719" s="15"/>
      <c r="P1719" s="6">
        <v>41101.521550925929</v>
      </c>
      <c r="Q1719" s="16" t="s">
        <v>2839</v>
      </c>
      <c r="R1719" s="17" t="s">
        <v>7182</v>
      </c>
      <c r="S1719" s="14" t="s">
        <v>7183</v>
      </c>
      <c r="T1719" s="11"/>
      <c r="U1719" s="10" t="str">
        <f>HYPERLINK("https://pbs.twimg.com/profile_images/1049641695229464576/i3amdajs.jpg","View")</f>
        <v>View</v>
      </c>
    </row>
    <row r="1720" spans="1:21" ht="20.399999999999999">
      <c r="A1720" s="6">
        <v>43425.275972222225</v>
      </c>
      <c r="B1720" s="7" t="str">
        <f>HYPERLINK("https://twitter.com/negativo_stats","@negativo_stats")</f>
        <v>@negativo_stats</v>
      </c>
      <c r="C1720" s="8" t="s">
        <v>117</v>
      </c>
      <c r="D1720" s="9" t="s">
        <v>118</v>
      </c>
      <c r="E1720" s="10" t="str">
        <f>HYPERLINK("https://twitter.com/negativo_stats/status/1065252844209610752","1065252844209610752")</f>
        <v>1065252844209610752</v>
      </c>
      <c r="F1720" s="11"/>
      <c r="G1720" s="14" t="s">
        <v>4050</v>
      </c>
      <c r="H1720" s="11"/>
      <c r="I1720" s="12">
        <v>0</v>
      </c>
      <c r="J1720" s="12">
        <v>0</v>
      </c>
      <c r="K1720" s="13" t="str">
        <f>HYPERLINK("http://kosmonautica.es","Política Negativa")</f>
        <v>Política Negativa</v>
      </c>
      <c r="L1720" s="12">
        <v>256</v>
      </c>
      <c r="M1720" s="12">
        <v>694</v>
      </c>
      <c r="N1720" s="12">
        <v>2</v>
      </c>
      <c r="O1720" s="15"/>
      <c r="P1720" s="6">
        <v>42171.395601851851</v>
      </c>
      <c r="Q1720" s="16" t="s">
        <v>87</v>
      </c>
      <c r="R1720" s="17" t="s">
        <v>120</v>
      </c>
      <c r="S1720" s="11"/>
      <c r="T1720" s="11"/>
      <c r="U1720" s="10" t="str">
        <f>HYPERLINK("https://pbs.twimg.com/profile_images/628553625984438272/e-VHyhP1.png","View")</f>
        <v>View</v>
      </c>
    </row>
    <row r="1721" spans="1:21" ht="13.2">
      <c r="A1721" s="6">
        <v>43425.275914351849</v>
      </c>
      <c r="B1721" s="7" t="str">
        <f>HYPERLINK("https://twitter.com/maribelbotoah","@maribelbotoah")</f>
        <v>@maribelbotoah</v>
      </c>
      <c r="C1721" s="8" t="s">
        <v>7184</v>
      </c>
      <c r="D1721" s="9" t="s">
        <v>7185</v>
      </c>
      <c r="E1721" s="10" t="str">
        <f>HYPERLINK("https://twitter.com/maribelbotoah/status/1065252823733030914","1065252823733030914")</f>
        <v>1065252823733030914</v>
      </c>
      <c r="F1721" s="11"/>
      <c r="G1721" s="14" t="s">
        <v>7186</v>
      </c>
      <c r="H1721" s="11"/>
      <c r="I1721" s="12">
        <v>3</v>
      </c>
      <c r="J1721" s="12">
        <v>1</v>
      </c>
      <c r="K1721" s="13" t="str">
        <f>HYPERLINK("http://twitter.com/download/android","Twitter for Android")</f>
        <v>Twitter for Android</v>
      </c>
      <c r="L1721" s="12">
        <v>4465</v>
      </c>
      <c r="M1721" s="12">
        <v>1742</v>
      </c>
      <c r="N1721" s="12">
        <v>59</v>
      </c>
      <c r="O1721" s="15"/>
      <c r="P1721" s="6">
        <v>41332.535451388889</v>
      </c>
      <c r="Q1721" s="11"/>
      <c r="R1721" s="17" t="s">
        <v>7187</v>
      </c>
      <c r="S1721" s="11"/>
      <c r="T1721" s="11"/>
      <c r="U1721" s="10" t="str">
        <f>HYPERLINK("https://pbs.twimg.com/profile_images/1063457737433067520/XPVdx4id.jpg","View")</f>
        <v>View</v>
      </c>
    </row>
    <row r="1722" spans="1:21" ht="81.599999999999994">
      <c r="A1722" s="6">
        <v>43425.275335648148</v>
      </c>
      <c r="B1722" s="7" t="str">
        <f>HYPERLINK("https://twitter.com/rightascension","@rightascension")</f>
        <v>@rightascension</v>
      </c>
      <c r="C1722" s="8" t="s">
        <v>3569</v>
      </c>
      <c r="D1722" s="9" t="s">
        <v>4051</v>
      </c>
      <c r="E1722" s="10" t="str">
        <f>HYPERLINK("https://twitter.com/rightascension/status/1065252614672171008","1065252614672171008")</f>
        <v>1065252614672171008</v>
      </c>
      <c r="F1722" s="16" t="s">
        <v>3602</v>
      </c>
      <c r="G1722" s="11"/>
      <c r="H1722" s="11"/>
      <c r="I1722" s="12">
        <v>0</v>
      </c>
      <c r="J1722" s="12">
        <v>0</v>
      </c>
      <c r="K1722" s="13" t="str">
        <f>HYPERLINK("http://twitter.com/download/iphone","Twitter for iPhone")</f>
        <v>Twitter for iPhone</v>
      </c>
      <c r="L1722" s="12">
        <v>32</v>
      </c>
      <c r="M1722" s="12">
        <v>175</v>
      </c>
      <c r="N1722" s="12">
        <v>0</v>
      </c>
      <c r="O1722" s="15"/>
      <c r="P1722" s="6">
        <v>40408.15116898148</v>
      </c>
      <c r="Q1722" s="11"/>
      <c r="R1722" s="19"/>
      <c r="S1722" s="11"/>
      <c r="T1722" s="11"/>
      <c r="U1722" s="10" t="str">
        <f>HYPERLINK("https://pbs.twimg.com/profile_images/918907382037712896/8vpgWxCa.jpg","View")</f>
        <v>View</v>
      </c>
    </row>
    <row r="1723" spans="1:21" ht="20.399999999999999">
      <c r="A1723" s="6">
        <v>43425.274467592593</v>
      </c>
      <c r="B1723" s="7" t="str">
        <f>HYPERLINK("https://twitter.com/aurorab933","@aurorab933")</f>
        <v>@aurorab933</v>
      </c>
      <c r="C1723" s="27" t="s">
        <v>7188</v>
      </c>
      <c r="D1723" s="9" t="s">
        <v>7189</v>
      </c>
      <c r="E1723" s="10" t="str">
        <f>HYPERLINK("https://twitter.com/aurorab933/status/1065252301055713280","1065252301055713280")</f>
        <v>1065252301055713280</v>
      </c>
      <c r="F1723" s="14" t="s">
        <v>4200</v>
      </c>
      <c r="G1723" s="11"/>
      <c r="H1723" s="11"/>
      <c r="I1723" s="12">
        <v>1</v>
      </c>
      <c r="J1723" s="12">
        <v>0</v>
      </c>
      <c r="K1723" s="13" t="str">
        <f>HYPERLINK("http://twitter.com/download/android","Twitter for Android")</f>
        <v>Twitter for Android</v>
      </c>
      <c r="L1723" s="12">
        <v>2937</v>
      </c>
      <c r="M1723" s="12">
        <v>2191</v>
      </c>
      <c r="N1723" s="12">
        <v>123</v>
      </c>
      <c r="O1723" s="15"/>
      <c r="P1723" s="6">
        <v>41240.575648148151</v>
      </c>
      <c r="Q1723" s="11"/>
      <c r="R1723" s="19"/>
      <c r="S1723" s="11"/>
      <c r="T1723" s="11"/>
      <c r="U1723" s="10" t="str">
        <f>HYPERLINK("https://pbs.twimg.com/profile_images/1050140493819105281/e2da3DMj.jpg","View")</f>
        <v>View</v>
      </c>
    </row>
    <row r="1724" spans="1:21" ht="13.2">
      <c r="A1724" s="6">
        <v>43425.274097222224</v>
      </c>
      <c r="B1724" s="7" t="str">
        <f>HYPERLINK("https://twitter.com/teijekun","@teijekun")</f>
        <v>@teijekun</v>
      </c>
      <c r="C1724" s="8" t="s">
        <v>7190</v>
      </c>
      <c r="D1724" s="9" t="s">
        <v>7191</v>
      </c>
      <c r="E1724" s="10" t="str">
        <f>HYPERLINK("https://twitter.com/teijekun/status/1065252168062681088","1065252168062681088")</f>
        <v>1065252168062681088</v>
      </c>
      <c r="F1724" s="11"/>
      <c r="G1724" s="14" t="s">
        <v>7192</v>
      </c>
      <c r="H1724" s="11"/>
      <c r="I1724" s="12">
        <v>1</v>
      </c>
      <c r="J1724" s="12">
        <v>26</v>
      </c>
      <c r="K1724" s="13" t="str">
        <f>HYPERLINK("https://about.twitter.com/products/tweetdeck","TweetDeck")</f>
        <v>TweetDeck</v>
      </c>
      <c r="L1724" s="12">
        <v>652</v>
      </c>
      <c r="M1724" s="12">
        <v>1011</v>
      </c>
      <c r="N1724" s="12">
        <v>38</v>
      </c>
      <c r="O1724" s="15"/>
      <c r="P1724" s="6">
        <v>40122.606493055559</v>
      </c>
      <c r="Q1724" s="16" t="s">
        <v>7193</v>
      </c>
      <c r="R1724" s="17" t="s">
        <v>7194</v>
      </c>
      <c r="S1724" s="11"/>
      <c r="T1724" s="11"/>
      <c r="U1724" s="10" t="str">
        <f>HYPERLINK("https://pbs.twimg.com/profile_images/1062033688156876800/PCXYoJU1.jpg","View")</f>
        <v>View</v>
      </c>
    </row>
    <row r="1725" spans="1:21" ht="61.2">
      <c r="A1725" s="6">
        <v>43425.272222222222</v>
      </c>
      <c r="B1725" s="7" t="str">
        <f>HYPERLINK("https://twitter.com/usingneurons","@usingneurons")</f>
        <v>@usingneurons</v>
      </c>
      <c r="C1725" s="8" t="s">
        <v>280</v>
      </c>
      <c r="D1725" s="9" t="s">
        <v>4055</v>
      </c>
      <c r="E1725" s="10" t="str">
        <f>HYPERLINK("https://twitter.com/usingneurons/status/1065251488375717888","1065251488375717888")</f>
        <v>1065251488375717888</v>
      </c>
      <c r="F1725" s="11"/>
      <c r="G1725" s="11"/>
      <c r="H1725" s="11"/>
      <c r="I1725" s="12">
        <v>0</v>
      </c>
      <c r="J1725" s="12">
        <v>0</v>
      </c>
      <c r="K1725" s="13" t="str">
        <f>HYPERLINK("http://twitter.com","Twitter Web Client")</f>
        <v>Twitter Web Client</v>
      </c>
      <c r="L1725" s="12">
        <v>924</v>
      </c>
      <c r="M1725" s="12">
        <v>894</v>
      </c>
      <c r="N1725" s="12">
        <v>21</v>
      </c>
      <c r="O1725" s="15"/>
      <c r="P1725" s="6">
        <v>41781.407407407409</v>
      </c>
      <c r="Q1725" s="11"/>
      <c r="R1725" s="17" t="s">
        <v>286</v>
      </c>
      <c r="S1725" s="11"/>
      <c r="T1725" s="11"/>
      <c r="U1725" s="10" t="str">
        <f>HYPERLINK("https://pbs.twimg.com/profile_images/497787841733066752/jnJEf2Rm.jpeg","View")</f>
        <v>View</v>
      </c>
    </row>
    <row r="1726" spans="1:21" ht="20.399999999999999">
      <c r="A1726" s="6">
        <v>43425.271747685183</v>
      </c>
      <c r="B1726" s="7" t="str">
        <f>HYPERLINK("https://twitter.com/VillanoEse","@VillanoEse")</f>
        <v>@VillanoEse</v>
      </c>
      <c r="C1726" s="8" t="s">
        <v>7195</v>
      </c>
      <c r="D1726" s="9" t="s">
        <v>7196</v>
      </c>
      <c r="E1726" s="10" t="str">
        <f>HYPERLINK("https://twitter.com/VillanoEse/status/1065251313699696640","1065251313699696640")</f>
        <v>1065251313699696640</v>
      </c>
      <c r="F1726" s="14" t="s">
        <v>7197</v>
      </c>
      <c r="G1726" s="11"/>
      <c r="H1726" s="11"/>
      <c r="I1726" s="12">
        <v>0</v>
      </c>
      <c r="J1726" s="12">
        <v>0</v>
      </c>
      <c r="K1726" s="13" t="str">
        <f>HYPERLINK("https://www.google.com/","Google")</f>
        <v>Google</v>
      </c>
      <c r="L1726" s="12">
        <v>55</v>
      </c>
      <c r="M1726" s="12">
        <v>233</v>
      </c>
      <c r="N1726" s="12">
        <v>0</v>
      </c>
      <c r="O1726" s="15"/>
      <c r="P1726" s="6">
        <v>40624.489664351851</v>
      </c>
      <c r="Q1726" s="16" t="s">
        <v>132</v>
      </c>
      <c r="R1726" s="17" t="s">
        <v>7198</v>
      </c>
      <c r="S1726" s="11"/>
      <c r="T1726" s="11"/>
      <c r="U1726" s="10" t="str">
        <f>HYPERLINK("https://pbs.twimg.com/profile_images/1450532655/cara-Twitter.jpg","View")</f>
        <v>View</v>
      </c>
    </row>
    <row r="1727" spans="1:21" ht="20.399999999999999">
      <c r="A1727" s="6">
        <v>43425.270509259259</v>
      </c>
      <c r="B1727" s="7" t="str">
        <f>HYPERLINK("https://twitter.com/swandepp","@swandepp")</f>
        <v>@swandepp</v>
      </c>
      <c r="C1727" s="8" t="s">
        <v>7199</v>
      </c>
      <c r="D1727" s="9" t="s">
        <v>7200</v>
      </c>
      <c r="E1727" s="10" t="str">
        <f>HYPERLINK("https://twitter.com/swandepp/status/1065250865852895232","1065250865852895232")</f>
        <v>1065250865852895232</v>
      </c>
      <c r="F1727" s="11"/>
      <c r="G1727" s="11"/>
      <c r="H1727" s="11"/>
      <c r="I1727" s="12">
        <v>27</v>
      </c>
      <c r="J1727" s="12">
        <v>273</v>
      </c>
      <c r="K1727" s="13" t="str">
        <f>HYPERLINK("http://twitter.com/download/android","Twitter for Android")</f>
        <v>Twitter for Android</v>
      </c>
      <c r="L1727" s="12">
        <v>209</v>
      </c>
      <c r="M1727" s="12">
        <v>496</v>
      </c>
      <c r="N1727" s="12">
        <v>0</v>
      </c>
      <c r="O1727" s="15"/>
      <c r="P1727" s="6">
        <v>42629.693391203706</v>
      </c>
      <c r="Q1727" s="16" t="s">
        <v>28</v>
      </c>
      <c r="R1727" s="17" t="s">
        <v>7201</v>
      </c>
      <c r="S1727" s="11"/>
      <c r="T1727" s="11"/>
      <c r="U1727" s="10" t="str">
        <f>HYPERLINK("https://pbs.twimg.com/profile_images/1065267373639385089/CjkGbN2l.jpg","View")</f>
        <v>View</v>
      </c>
    </row>
    <row r="1728" spans="1:21" ht="51">
      <c r="A1728" s="6">
        <v>43425.266851851848</v>
      </c>
      <c r="B1728" s="7" t="str">
        <f>HYPERLINK("https://twitter.com/PilotoRojo73","@PilotoRojo73")</f>
        <v>@PilotoRojo73</v>
      </c>
      <c r="C1728" s="8" t="s">
        <v>4058</v>
      </c>
      <c r="D1728" s="9" t="s">
        <v>4059</v>
      </c>
      <c r="E1728" s="10" t="str">
        <f>HYPERLINK("https://twitter.com/PilotoRojo73/status/1065249542088597504","1065249542088597504")</f>
        <v>1065249542088597504</v>
      </c>
      <c r="F1728" s="11"/>
      <c r="G1728" s="14" t="s">
        <v>4061</v>
      </c>
      <c r="H1728" s="11"/>
      <c r="I1728" s="12">
        <v>112</v>
      </c>
      <c r="J1728" s="12">
        <v>123</v>
      </c>
      <c r="K1728" s="13" t="str">
        <f>HYPERLINK("https://mobile.twitter.com","Twitter Lite")</f>
        <v>Twitter Lite</v>
      </c>
      <c r="L1728" s="12">
        <v>10216</v>
      </c>
      <c r="M1728" s="12">
        <v>7890</v>
      </c>
      <c r="N1728" s="12">
        <v>60</v>
      </c>
      <c r="O1728" s="15"/>
      <c r="P1728" s="6">
        <v>42493.663310185184</v>
      </c>
      <c r="Q1728" s="16" t="s">
        <v>4062</v>
      </c>
      <c r="R1728" s="17" t="s">
        <v>4063</v>
      </c>
      <c r="S1728" s="14" t="s">
        <v>4064</v>
      </c>
      <c r="T1728" s="11"/>
      <c r="U1728" s="10" t="str">
        <f>HYPERLINK("https://pbs.twimg.com/profile_images/1051228030612492288/ocTykL51.jpg","View")</f>
        <v>View</v>
      </c>
    </row>
    <row r="1729" spans="1:21" ht="30.6">
      <c r="A1729" s="6">
        <v>43425.260798611111</v>
      </c>
      <c r="B1729" s="7" t="str">
        <f>HYPERLINK("https://twitter.com/JuanK1308","@JuanK1308")</f>
        <v>@JuanK1308</v>
      </c>
      <c r="C1729" s="8" t="s">
        <v>7202</v>
      </c>
      <c r="D1729" s="9" t="s">
        <v>7203</v>
      </c>
      <c r="E1729" s="10" t="str">
        <f>HYPERLINK("https://twitter.com/JuanK1308/status/1065247348572319744","1065247348572319744")</f>
        <v>1065247348572319744</v>
      </c>
      <c r="F1729" s="11"/>
      <c r="G1729" s="11"/>
      <c r="H1729" s="11"/>
      <c r="I1729" s="12">
        <v>0</v>
      </c>
      <c r="J1729" s="12">
        <v>7</v>
      </c>
      <c r="K1729" s="13" t="str">
        <f>HYPERLINK("http://twitter.com/download/android","Twitter for Android")</f>
        <v>Twitter for Android</v>
      </c>
      <c r="L1729" s="12">
        <v>243</v>
      </c>
      <c r="M1729" s="12">
        <v>237</v>
      </c>
      <c r="N1729" s="12">
        <v>3</v>
      </c>
      <c r="O1729" s="15"/>
      <c r="P1729" s="6">
        <v>40839.424351851849</v>
      </c>
      <c r="Q1729" s="16" t="s">
        <v>5499</v>
      </c>
      <c r="R1729" s="19"/>
      <c r="S1729" s="11"/>
      <c r="T1729" s="11"/>
      <c r="U1729" s="10" t="str">
        <f>HYPERLINK("https://pbs.twimg.com/profile_images/1020447653103104002/pUeDuLEF.jpg","View")</f>
        <v>View</v>
      </c>
    </row>
    <row r="1730" spans="1:21" ht="20.399999999999999">
      <c r="A1730" s="6">
        <v>43425.260104166664</v>
      </c>
      <c r="B1730" s="7" t="str">
        <f>HYPERLINK("https://twitter.com/piliymili69","@piliymili69")</f>
        <v>@piliymili69</v>
      </c>
      <c r="C1730" s="8" t="s">
        <v>7204</v>
      </c>
      <c r="D1730" s="9" t="s">
        <v>7205</v>
      </c>
      <c r="E1730" s="10" t="str">
        <f>HYPERLINK("https://twitter.com/piliymili69/status/1065247093621698562","1065247093621698562")</f>
        <v>1065247093621698562</v>
      </c>
      <c r="F1730" s="14" t="s">
        <v>6622</v>
      </c>
      <c r="G1730" s="11"/>
      <c r="H1730" s="11"/>
      <c r="I1730" s="12">
        <v>0</v>
      </c>
      <c r="J1730" s="12">
        <v>0</v>
      </c>
      <c r="K1730" s="13" t="str">
        <f>HYPERLINK("http://twitter.com","Twitter Web Client")</f>
        <v>Twitter Web Client</v>
      </c>
      <c r="L1730" s="12">
        <v>685</v>
      </c>
      <c r="M1730" s="12">
        <v>1630</v>
      </c>
      <c r="N1730" s="12">
        <v>2</v>
      </c>
      <c r="O1730" s="15"/>
      <c r="P1730" s="6">
        <v>42394.452708333338</v>
      </c>
      <c r="Q1730" s="11"/>
      <c r="R1730" s="19"/>
      <c r="S1730" s="11"/>
      <c r="T1730" s="11"/>
      <c r="U1730" s="10" t="str">
        <f>HYPERLINK("https://pbs.twimg.com/profile_images/1014830104390881285/gwISmr8z.jpg","View")</f>
        <v>View</v>
      </c>
    </row>
    <row r="1731" spans="1:21" ht="51">
      <c r="A1731" s="6">
        <v>43425.25990740741</v>
      </c>
      <c r="B1731" s="7" t="str">
        <f>HYPERLINK("https://twitter.com/FERMINVILLALBA","@FERMINVILLALBA")</f>
        <v>@FERMINVILLALBA</v>
      </c>
      <c r="C1731" s="8" t="s">
        <v>7206</v>
      </c>
      <c r="D1731" s="9" t="s">
        <v>7207</v>
      </c>
      <c r="E1731" s="10" t="str">
        <f>HYPERLINK("https://twitter.com/FERMINVILLALBA/status/1065247025711722496","1065247025711722496")</f>
        <v>1065247025711722496</v>
      </c>
      <c r="F1731" s="14" t="s">
        <v>7208</v>
      </c>
      <c r="G1731" s="14" t="s">
        <v>7209</v>
      </c>
      <c r="H1731" s="11"/>
      <c r="I1731" s="12">
        <v>0</v>
      </c>
      <c r="J1731" s="12">
        <v>1</v>
      </c>
      <c r="K1731" s="13" t="str">
        <f>HYPERLINK("http://www.facebook.com/twitter","Facebook")</f>
        <v>Facebook</v>
      </c>
      <c r="L1731" s="12">
        <v>759</v>
      </c>
      <c r="M1731" s="12">
        <v>2762</v>
      </c>
      <c r="N1731" s="12">
        <v>1</v>
      </c>
      <c r="O1731" s="15"/>
      <c r="P1731" s="6">
        <v>40638.753136574072</v>
      </c>
      <c r="Q1731" s="16" t="s">
        <v>7210</v>
      </c>
      <c r="R1731" s="19"/>
      <c r="S1731" s="14" t="s">
        <v>7211</v>
      </c>
      <c r="T1731" s="11"/>
      <c r="U1731" s="10" t="str">
        <f>HYPERLINK("https://pbs.twimg.com/profile_images/1010081630973775872/Qj66i8DW.jpg","View")</f>
        <v>View</v>
      </c>
    </row>
    <row r="1732" spans="1:21" ht="51">
      <c r="A1732" s="6">
        <v>43425.257847222223</v>
      </c>
      <c r="B1732" s="7" t="str">
        <f>HYPERLINK("https://twitter.com/Luissanz873","@Luissanz873")</f>
        <v>@Luissanz873</v>
      </c>
      <c r="C1732" s="8" t="s">
        <v>7212</v>
      </c>
      <c r="D1732" s="9" t="s">
        <v>7213</v>
      </c>
      <c r="E1732" s="10" t="str">
        <f>HYPERLINK("https://twitter.com/Luissanz873/status/1065246277808652288","1065246277808652288")</f>
        <v>1065246277808652288</v>
      </c>
      <c r="F1732" s="11"/>
      <c r="G1732" s="11"/>
      <c r="H1732" s="11"/>
      <c r="I1732" s="12">
        <v>4</v>
      </c>
      <c r="J1732" s="12">
        <v>14</v>
      </c>
      <c r="K1732" s="13" t="str">
        <f>HYPERLINK("http://twitter.com/download/iphone","Twitter for iPhone")</f>
        <v>Twitter for iPhone</v>
      </c>
      <c r="L1732" s="12">
        <v>799</v>
      </c>
      <c r="M1732" s="12">
        <v>314</v>
      </c>
      <c r="N1732" s="12">
        <v>11</v>
      </c>
      <c r="O1732" s="15"/>
      <c r="P1732" s="6">
        <v>41116.632488425923</v>
      </c>
      <c r="Q1732" s="16" t="s">
        <v>7214</v>
      </c>
      <c r="R1732" s="17" t="s">
        <v>7215</v>
      </c>
      <c r="S1732" s="11"/>
      <c r="T1732" s="11"/>
      <c r="U1732" s="10" t="str">
        <f>HYPERLINK("https://pbs.twimg.com/profile_images/991649061311799296/lRtXc7Kc.jpg","View")</f>
        <v>View</v>
      </c>
    </row>
    <row r="1733" spans="1:21" ht="71.400000000000006">
      <c r="A1733" s="6">
        <v>43425.257581018523</v>
      </c>
      <c r="B1733" s="7" t="str">
        <f>HYPERLINK("https://twitter.com/dusheina76","@dusheina76")</f>
        <v>@dusheina76</v>
      </c>
      <c r="C1733" s="8" t="s">
        <v>7216</v>
      </c>
      <c r="D1733" s="9" t="s">
        <v>7217</v>
      </c>
      <c r="E1733" s="10" t="str">
        <f>HYPERLINK("https://twitter.com/dusheina76/status/1065246180420907009","1065246180420907009")</f>
        <v>1065246180420907009</v>
      </c>
      <c r="F1733" s="14" t="s">
        <v>7218</v>
      </c>
      <c r="G1733" s="14" t="s">
        <v>7219</v>
      </c>
      <c r="H1733" s="11"/>
      <c r="I1733" s="12">
        <v>0</v>
      </c>
      <c r="J1733" s="12">
        <v>0</v>
      </c>
      <c r="K1733" s="13" t="str">
        <f>HYPERLINK("https://dlvrit.com/","dlvr.it")</f>
        <v>dlvr.it</v>
      </c>
      <c r="L1733" s="12">
        <v>62</v>
      </c>
      <c r="M1733" s="12">
        <v>2</v>
      </c>
      <c r="N1733" s="12">
        <v>1</v>
      </c>
      <c r="O1733" s="15"/>
      <c r="P1733" s="6">
        <v>42136.631423611107</v>
      </c>
      <c r="Q1733" s="16" t="s">
        <v>5131</v>
      </c>
      <c r="R1733" s="17" t="s">
        <v>7220</v>
      </c>
      <c r="S1733" s="14" t="s">
        <v>7221</v>
      </c>
      <c r="T1733" s="11"/>
      <c r="U1733" s="10" t="str">
        <f>HYPERLINK("https://pbs.twimg.com/profile_images/813826569416437760/9zHKhf6_.jpg","View")</f>
        <v>View</v>
      </c>
    </row>
    <row r="1734" spans="1:21" ht="30.6">
      <c r="A1734" s="6">
        <v>43425.256967592592</v>
      </c>
      <c r="B1734" s="7" t="str">
        <f>HYPERLINK("https://twitter.com/AlfredReyesBCN","@AlfredReyesBCN")</f>
        <v>@AlfredReyesBCN</v>
      </c>
      <c r="C1734" s="8" t="s">
        <v>7222</v>
      </c>
      <c r="D1734" s="9" t="s">
        <v>7189</v>
      </c>
      <c r="E1734" s="10" t="str">
        <f>HYPERLINK("https://twitter.com/AlfredReyesBCN/status/1065245958336905216","1065245958336905216")</f>
        <v>1065245958336905216</v>
      </c>
      <c r="F1734" s="14" t="s">
        <v>4200</v>
      </c>
      <c r="G1734" s="11"/>
      <c r="H1734" s="11"/>
      <c r="I1734" s="12">
        <v>0</v>
      </c>
      <c r="J1734" s="12">
        <v>0</v>
      </c>
      <c r="K1734" s="13" t="str">
        <f>HYPERLINK("http://twitter.com","Twitter Web Client")</f>
        <v>Twitter Web Client</v>
      </c>
      <c r="L1734" s="12">
        <v>1747</v>
      </c>
      <c r="M1734" s="12">
        <v>3820</v>
      </c>
      <c r="N1734" s="12">
        <v>15</v>
      </c>
      <c r="O1734" s="15"/>
      <c r="P1734" s="6">
        <v>40822.386643518519</v>
      </c>
      <c r="Q1734" s="16" t="s">
        <v>256</v>
      </c>
      <c r="R1734" s="17" t="s">
        <v>7223</v>
      </c>
      <c r="S1734" s="11"/>
      <c r="T1734" s="11"/>
      <c r="U1734" s="10" t="str">
        <f>HYPERLINK("https://pbs.twimg.com/profile_images/1040252667036160001/UDuhjVIJ.jpg","View")</f>
        <v>View</v>
      </c>
    </row>
    <row r="1735" spans="1:21" ht="40.799999999999997">
      <c r="A1735" s="6">
        <v>43425.25476851852</v>
      </c>
      <c r="B1735" s="7" t="str">
        <f>HYPERLINK("https://twitter.com/CibariaFastGood","@CibariaFastGood")</f>
        <v>@CibariaFastGood</v>
      </c>
      <c r="C1735" s="8" t="s">
        <v>7224</v>
      </c>
      <c r="D1735" s="9" t="s">
        <v>7225</v>
      </c>
      <c r="E1735" s="10" t="str">
        <f>HYPERLINK("https://twitter.com/CibariaFastGood/status/1065245160886419456","1065245160886419456")</f>
        <v>1065245160886419456</v>
      </c>
      <c r="F1735" s="11"/>
      <c r="G1735" s="11"/>
      <c r="H1735" s="11"/>
      <c r="I1735" s="12">
        <v>0</v>
      </c>
      <c r="J1735" s="12">
        <v>0</v>
      </c>
      <c r="K1735" s="13" t="str">
        <f>HYPERLINK("http://www.facebook.com/twitter","Facebook")</f>
        <v>Facebook</v>
      </c>
      <c r="L1735" s="12">
        <v>92</v>
      </c>
      <c r="M1735" s="12">
        <v>57</v>
      </c>
      <c r="N1735" s="12">
        <v>2</v>
      </c>
      <c r="O1735" s="15"/>
      <c r="P1735" s="6">
        <v>40271.609259259261</v>
      </c>
      <c r="Q1735" s="16" t="s">
        <v>28</v>
      </c>
      <c r="R1735" s="17" t="s">
        <v>7226</v>
      </c>
      <c r="S1735" s="14" t="s">
        <v>7227</v>
      </c>
      <c r="T1735" s="11"/>
      <c r="U1735" s="10" t="str">
        <f>HYPERLINK("https://pbs.twimg.com/profile_images/664178316082024448/2EV_ogdR.jpg","View")</f>
        <v>View</v>
      </c>
    </row>
    <row r="1736" spans="1:21" ht="40.799999999999997">
      <c r="A1736" s="6">
        <v>43425.253784722227</v>
      </c>
      <c r="B1736" s="7" t="str">
        <f>HYPERLINK("https://twitter.com/raidtxu","@raidtxu")</f>
        <v>@raidtxu</v>
      </c>
      <c r="C1736" s="8" t="s">
        <v>7228</v>
      </c>
      <c r="D1736" s="9" t="s">
        <v>7229</v>
      </c>
      <c r="E1736" s="10" t="str">
        <f>HYPERLINK("https://twitter.com/raidtxu/status/1065244803758243840","1065244803758243840")</f>
        <v>1065244803758243840</v>
      </c>
      <c r="F1736" s="11"/>
      <c r="G1736" s="11"/>
      <c r="H1736" s="11"/>
      <c r="I1736" s="12">
        <v>1</v>
      </c>
      <c r="J1736" s="12">
        <v>6</v>
      </c>
      <c r="K1736" s="13" t="str">
        <f>HYPERLINK("http://twitter.com","Twitter Web Client")</f>
        <v>Twitter Web Client</v>
      </c>
      <c r="L1736" s="12">
        <v>1745</v>
      </c>
      <c r="M1736" s="12">
        <v>2191</v>
      </c>
      <c r="N1736" s="12">
        <v>17</v>
      </c>
      <c r="O1736" s="15"/>
      <c r="P1736" s="6">
        <v>41325.347650462965</v>
      </c>
      <c r="Q1736" s="16" t="s">
        <v>6909</v>
      </c>
      <c r="R1736" s="17" t="s">
        <v>7230</v>
      </c>
      <c r="S1736" s="14" t="s">
        <v>7231</v>
      </c>
      <c r="T1736" s="11"/>
      <c r="U1736" s="10" t="str">
        <f>HYPERLINK("https://pbs.twimg.com/profile_images/918621584029515777/-brF2Xjf.jpg","View")</f>
        <v>View</v>
      </c>
    </row>
    <row r="1737" spans="1:21" ht="51">
      <c r="A1737" s="6">
        <v>43425.251388888893</v>
      </c>
      <c r="B1737" s="7" t="str">
        <f t="shared" ref="B1737:B1738" si="357">HYPERLINK("https://twitter.com/bitMomentum","@bitMomentum")</f>
        <v>@bitMomentum</v>
      </c>
      <c r="C1737" s="8" t="s">
        <v>1033</v>
      </c>
      <c r="D1737" s="9" t="s">
        <v>4065</v>
      </c>
      <c r="E1737" s="10" t="str">
        <f>HYPERLINK("https://twitter.com/bitMomentum/status/1065243935591858177","1065243935591858177")</f>
        <v>1065243935591858177</v>
      </c>
      <c r="F1737" s="11"/>
      <c r="G1737" s="11"/>
      <c r="H1737" s="11"/>
      <c r="I1737" s="12">
        <v>0</v>
      </c>
      <c r="J1737" s="12">
        <v>1</v>
      </c>
      <c r="K1737" s="13" t="str">
        <f t="shared" ref="K1737:K1738" si="358">HYPERLINK("http://www.bitmomentum.com","bitMomentum Bot")</f>
        <v>bitMomentum Bot</v>
      </c>
      <c r="L1737" s="12">
        <v>10132</v>
      </c>
      <c r="M1737" s="12">
        <v>1060</v>
      </c>
      <c r="N1737" s="12">
        <v>267</v>
      </c>
      <c r="O1737" s="15"/>
      <c r="P1737" s="6">
        <v>41608.292511574073</v>
      </c>
      <c r="Q1737" s="11"/>
      <c r="R1737" s="17" t="s">
        <v>1038</v>
      </c>
      <c r="S1737" s="14" t="s">
        <v>1039</v>
      </c>
      <c r="T1737" s="11"/>
      <c r="U1737" s="10" t="str">
        <f t="shared" ref="U1737:U1738" si="359">HYPERLINK("https://pbs.twimg.com/profile_images/378800000862185241/20ij2H3u.png","View")</f>
        <v>View</v>
      </c>
    </row>
    <row r="1738" spans="1:21" ht="51">
      <c r="A1738" s="6">
        <v>43425.250694444447</v>
      </c>
      <c r="B1738" s="7" t="str">
        <f t="shared" si="357"/>
        <v>@bitMomentum</v>
      </c>
      <c r="C1738" s="8" t="s">
        <v>1033</v>
      </c>
      <c r="D1738" s="9" t="s">
        <v>4066</v>
      </c>
      <c r="E1738" s="10" t="str">
        <f>HYPERLINK("https://twitter.com/bitMomentum/status/1065243683820314625","1065243683820314625")</f>
        <v>1065243683820314625</v>
      </c>
      <c r="F1738" s="11"/>
      <c r="G1738" s="11"/>
      <c r="H1738" s="11"/>
      <c r="I1738" s="12">
        <v>0</v>
      </c>
      <c r="J1738" s="12">
        <v>1</v>
      </c>
      <c r="K1738" s="13" t="str">
        <f t="shared" si="358"/>
        <v>bitMomentum Bot</v>
      </c>
      <c r="L1738" s="12">
        <v>10132</v>
      </c>
      <c r="M1738" s="12">
        <v>1060</v>
      </c>
      <c r="N1738" s="12">
        <v>267</v>
      </c>
      <c r="O1738" s="15"/>
      <c r="P1738" s="6">
        <v>41608.292511574073</v>
      </c>
      <c r="Q1738" s="11"/>
      <c r="R1738" s="17" t="s">
        <v>1038</v>
      </c>
      <c r="S1738" s="14" t="s">
        <v>1039</v>
      </c>
      <c r="T1738" s="11"/>
      <c r="U1738" s="10" t="str">
        <f t="shared" si="359"/>
        <v>View</v>
      </c>
    </row>
    <row r="1739" spans="1:21" ht="81.599999999999994">
      <c r="A1739" s="6">
        <v>43425.249537037038</v>
      </c>
      <c r="B1739" s="7" t="str">
        <f>HYPERLINK("https://twitter.com/ocofqijx","@ocofqijx")</f>
        <v>@ocofqijx</v>
      </c>
      <c r="C1739" s="8" t="s">
        <v>5131</v>
      </c>
      <c r="D1739" s="9" t="s">
        <v>7232</v>
      </c>
      <c r="E1739" s="10" t="str">
        <f>HYPERLINK("https://twitter.com/ocofqijx/status/1065243264536772616","1065243264536772616")</f>
        <v>1065243264536772616</v>
      </c>
      <c r="F1739" s="14" t="s">
        <v>7233</v>
      </c>
      <c r="G1739" s="11"/>
      <c r="H1739" s="11"/>
      <c r="I1739" s="12">
        <v>0</v>
      </c>
      <c r="J1739" s="12">
        <v>0</v>
      </c>
      <c r="K1739" s="13" t="str">
        <f t="shared" ref="K1739:K1741" si="360">HYPERLINK("https://ifttt.com","IFTTT")</f>
        <v>IFTTT</v>
      </c>
      <c r="L1739" s="12">
        <v>13</v>
      </c>
      <c r="M1739" s="12">
        <v>0</v>
      </c>
      <c r="N1739" s="12">
        <v>0</v>
      </c>
      <c r="O1739" s="15"/>
      <c r="P1739" s="6">
        <v>41887.585462962961</v>
      </c>
      <c r="Q1739" s="16" t="s">
        <v>5131</v>
      </c>
      <c r="R1739" s="17" t="s">
        <v>7234</v>
      </c>
      <c r="S1739" s="14" t="s">
        <v>7235</v>
      </c>
      <c r="T1739" s="11"/>
      <c r="U1739" s="10" t="str">
        <f>HYPERLINK("https://pbs.twimg.com/profile_images/822477281046261761/FYYJjY9w.jpg","View")</f>
        <v>View</v>
      </c>
    </row>
    <row r="1740" spans="1:21" ht="30.6">
      <c r="A1740" s="6">
        <v>43425.247581018513</v>
      </c>
      <c r="B1740" s="7" t="str">
        <f>HYPERLINK("https://twitter.com/insurgente_org","@insurgente_org")</f>
        <v>@insurgente_org</v>
      </c>
      <c r="C1740" s="22" t="s">
        <v>3963</v>
      </c>
      <c r="D1740" s="9" t="s">
        <v>7236</v>
      </c>
      <c r="E1740" s="10" t="str">
        <f>HYPERLINK("https://twitter.com/insurgente_org/status/1065242558048206848","1065242558048206848")</f>
        <v>1065242558048206848</v>
      </c>
      <c r="F1740" s="14" t="s">
        <v>7237</v>
      </c>
      <c r="G1740" s="14" t="s">
        <v>7238</v>
      </c>
      <c r="H1740" s="11"/>
      <c r="I1740" s="12">
        <v>0</v>
      </c>
      <c r="J1740" s="12">
        <v>1</v>
      </c>
      <c r="K1740" s="13" t="str">
        <f t="shared" si="360"/>
        <v>IFTTT</v>
      </c>
      <c r="L1740" s="12">
        <v>7510</v>
      </c>
      <c r="M1740" s="12">
        <v>15</v>
      </c>
      <c r="N1740" s="12">
        <v>207</v>
      </c>
      <c r="O1740" s="15"/>
      <c r="P1740" s="6">
        <v>40862.414340277777</v>
      </c>
      <c r="Q1740" s="11"/>
      <c r="R1740" s="19"/>
      <c r="S1740" s="14" t="s">
        <v>3973</v>
      </c>
      <c r="T1740" s="11"/>
      <c r="U1740" s="10" t="str">
        <f>HYPERLINK("https://pbs.twimg.com/profile_images/1653368787/logo.png","View")</f>
        <v>View</v>
      </c>
    </row>
    <row r="1741" spans="1:21" ht="20.399999999999999">
      <c r="A1741" s="6">
        <v>43425.247384259259</v>
      </c>
      <c r="B1741" s="7" t="str">
        <f>HYPERLINK("https://twitter.com/elotrokiosko","@elotrokiosko")</f>
        <v>@elotrokiosko</v>
      </c>
      <c r="C1741" s="22" t="s">
        <v>1172</v>
      </c>
      <c r="D1741" s="9" t="s">
        <v>6941</v>
      </c>
      <c r="E1741" s="10" t="str">
        <f>HYPERLINK("https://twitter.com/elotrokiosko/status/1065242484983455745","1065242484983455745")</f>
        <v>1065242484983455745</v>
      </c>
      <c r="F1741" s="14" t="s">
        <v>7239</v>
      </c>
      <c r="G1741" s="14" t="s">
        <v>7240</v>
      </c>
      <c r="H1741" s="11"/>
      <c r="I1741" s="12">
        <v>0</v>
      </c>
      <c r="J1741" s="12">
        <v>0</v>
      </c>
      <c r="K1741" s="13" t="str">
        <f t="shared" si="360"/>
        <v>IFTTT</v>
      </c>
      <c r="L1741" s="12">
        <v>673</v>
      </c>
      <c r="M1741" s="12">
        <v>33</v>
      </c>
      <c r="N1741" s="12">
        <v>33</v>
      </c>
      <c r="O1741" s="15"/>
      <c r="P1741" s="6">
        <v>41230.278622685189</v>
      </c>
      <c r="Q1741" s="11"/>
      <c r="R1741" s="19"/>
      <c r="S1741" s="14" t="s">
        <v>1179</v>
      </c>
      <c r="T1741" s="11"/>
      <c r="U1741" s="10" t="str">
        <f>HYPERLINK("https://pbs.twimg.com/profile_images/2860748818/ee598947c76a763418b30ea8f9af9290.jpeg","View")</f>
        <v>View</v>
      </c>
    </row>
    <row r="1742" spans="1:21" ht="40.799999999999997">
      <c r="A1742" s="6">
        <v>43425.245451388888</v>
      </c>
      <c r="B1742" s="7" t="str">
        <f>HYPERLINK("https://twitter.com/javiknight","@javiknight")</f>
        <v>@javiknight</v>
      </c>
      <c r="C1742" s="8" t="s">
        <v>4067</v>
      </c>
      <c r="D1742" s="9" t="s">
        <v>4068</v>
      </c>
      <c r="E1742" s="10" t="str">
        <f>HYPERLINK("https://twitter.com/javiknight/status/1065241784412971008","1065241784412971008")</f>
        <v>1065241784412971008</v>
      </c>
      <c r="F1742" s="11"/>
      <c r="G1742" s="11"/>
      <c r="H1742" s="11"/>
      <c r="I1742" s="12">
        <v>0</v>
      </c>
      <c r="J1742" s="12">
        <v>3</v>
      </c>
      <c r="K1742" s="13" t="str">
        <f>HYPERLINK("http://twitter.com","Twitter Web Client")</f>
        <v>Twitter Web Client</v>
      </c>
      <c r="L1742" s="12">
        <v>756</v>
      </c>
      <c r="M1742" s="12">
        <v>402</v>
      </c>
      <c r="N1742" s="12">
        <v>22</v>
      </c>
      <c r="O1742" s="15"/>
      <c r="P1742" s="6">
        <v>40847.101655092592</v>
      </c>
      <c r="Q1742" s="16" t="s">
        <v>87</v>
      </c>
      <c r="R1742" s="17" t="s">
        <v>4073</v>
      </c>
      <c r="S1742" s="11"/>
      <c r="T1742" s="11"/>
      <c r="U1742" s="10" t="str">
        <f>HYPERLINK("https://pbs.twimg.com/profile_images/931279554664124417/_idTkwQP.jpg","View")</f>
        <v>View</v>
      </c>
    </row>
    <row r="1743" spans="1:21" ht="40.799999999999997">
      <c r="A1743" s="6">
        <v>43425.243715277778</v>
      </c>
      <c r="B1743" s="7" t="str">
        <f>HYPERLINK("https://twitter.com/M_Pino_92","@M_Pino_92")</f>
        <v>@M_Pino_92</v>
      </c>
      <c r="C1743" s="8" t="s">
        <v>7241</v>
      </c>
      <c r="D1743" s="9" t="s">
        <v>7242</v>
      </c>
      <c r="E1743" s="10" t="str">
        <f>HYPERLINK("https://twitter.com/M_Pino_92/status/1065241156131438592","1065241156131438592")</f>
        <v>1065241156131438592</v>
      </c>
      <c r="F1743" s="14" t="s">
        <v>7243</v>
      </c>
      <c r="G1743" s="11"/>
      <c r="H1743" s="11"/>
      <c r="I1743" s="12">
        <v>1</v>
      </c>
      <c r="J1743" s="12">
        <v>1</v>
      </c>
      <c r="K1743" s="13" t="str">
        <f>HYPERLINK("https://www.google.com/","Google")</f>
        <v>Google</v>
      </c>
      <c r="L1743" s="12">
        <v>1434</v>
      </c>
      <c r="M1743" s="12">
        <v>859</v>
      </c>
      <c r="N1743" s="12">
        <v>43</v>
      </c>
      <c r="O1743" s="15"/>
      <c r="P1743" s="6">
        <v>41286.473194444443</v>
      </c>
      <c r="Q1743" s="16" t="s">
        <v>132</v>
      </c>
      <c r="R1743" s="17" t="s">
        <v>7244</v>
      </c>
      <c r="S1743" s="11"/>
      <c r="T1743" s="11"/>
      <c r="U1743" s="10" t="str">
        <f>HYPERLINK("https://pbs.twimg.com/profile_images/940291168574640128/gudhbWc_.jpg","View")</f>
        <v>View</v>
      </c>
    </row>
    <row r="1744" spans="1:21" ht="40.799999999999997">
      <c r="A1744" s="6">
        <v>43425.240740740745</v>
      </c>
      <c r="B1744" s="7" t="str">
        <f>HYPERLINK("https://twitter.com/GarciaCarmonaAM","@GarciaCarmonaAM")</f>
        <v>@GarciaCarmonaAM</v>
      </c>
      <c r="C1744" s="8" t="s">
        <v>7245</v>
      </c>
      <c r="D1744" s="9" t="s">
        <v>7246</v>
      </c>
      <c r="E1744" s="10" t="str">
        <f>HYPERLINK("https://twitter.com/GarciaCarmonaAM/status/1065240077364793345","1065240077364793345")</f>
        <v>1065240077364793345</v>
      </c>
      <c r="F1744" s="11"/>
      <c r="G1744" s="11"/>
      <c r="H1744" s="11"/>
      <c r="I1744" s="12">
        <v>3</v>
      </c>
      <c r="J1744" s="12">
        <v>4</v>
      </c>
      <c r="K1744" s="13" t="str">
        <f t="shared" ref="K1744:K1745" si="361">HYPERLINK("http://twitter.com/download/android","Twitter for Android")</f>
        <v>Twitter for Android</v>
      </c>
      <c r="L1744" s="12">
        <v>2703</v>
      </c>
      <c r="M1744" s="12">
        <v>2488</v>
      </c>
      <c r="N1744" s="12">
        <v>111</v>
      </c>
      <c r="O1744" s="15"/>
      <c r="P1744" s="6">
        <v>39995.407766203702</v>
      </c>
      <c r="Q1744" s="16" t="s">
        <v>7247</v>
      </c>
      <c r="R1744" s="17" t="s">
        <v>7248</v>
      </c>
      <c r="S1744" s="14" t="s">
        <v>7249</v>
      </c>
      <c r="T1744" s="11"/>
      <c r="U1744" s="10" t="str">
        <f>HYPERLINK("https://pbs.twimg.com/profile_images/1061276482830516224/m6xQAoDS.jpg","View")</f>
        <v>View</v>
      </c>
    </row>
    <row r="1745" spans="1:21" ht="51">
      <c r="A1745" s="6">
        <v>43425.240624999999</v>
      </c>
      <c r="B1745" s="7" t="str">
        <f>HYPERLINK("https://twitter.com/MoyanoSequera","@MoyanoSequera")</f>
        <v>@MoyanoSequera</v>
      </c>
      <c r="C1745" s="8" t="s">
        <v>7250</v>
      </c>
      <c r="D1745" s="9" t="s">
        <v>7251</v>
      </c>
      <c r="E1745" s="10" t="str">
        <f>HYPERLINK("https://twitter.com/MoyanoSequera/status/1065240037225312256","1065240037225312256")</f>
        <v>1065240037225312256</v>
      </c>
      <c r="F1745" s="14" t="s">
        <v>4200</v>
      </c>
      <c r="G1745" s="11"/>
      <c r="H1745" s="11"/>
      <c r="I1745" s="12">
        <v>1</v>
      </c>
      <c r="J1745" s="12">
        <v>0</v>
      </c>
      <c r="K1745" s="13" t="str">
        <f t="shared" si="361"/>
        <v>Twitter for Android</v>
      </c>
      <c r="L1745" s="12">
        <v>196</v>
      </c>
      <c r="M1745" s="12">
        <v>399</v>
      </c>
      <c r="N1745" s="12">
        <v>0</v>
      </c>
      <c r="O1745" s="15"/>
      <c r="P1745" s="6">
        <v>43240.227013888885</v>
      </c>
      <c r="Q1745" s="11"/>
      <c r="R1745" s="19"/>
      <c r="S1745" s="11"/>
      <c r="T1745" s="11"/>
      <c r="U1745" s="10" t="str">
        <f>HYPERLINK("https://pbs.twimg.com/profile_images/998183050658725888/zWVcNWhr.jpg","View")</f>
        <v>View</v>
      </c>
    </row>
    <row r="1746" spans="1:21" ht="40.799999999999997">
      <c r="A1746" s="6">
        <v>43425.236354166671</v>
      </c>
      <c r="B1746" s="7" t="str">
        <f>HYPERLINK("https://twitter.com/RADIOPICA","@RADIOPICA")</f>
        <v>@RADIOPICA</v>
      </c>
      <c r="C1746" s="8" t="s">
        <v>7252</v>
      </c>
      <c r="D1746" s="9" t="s">
        <v>7253</v>
      </c>
      <c r="E1746" s="10" t="str">
        <f>HYPERLINK("https://twitter.com/RADIOPICA/status/1065238489871118336","1065238489871118336")</f>
        <v>1065238489871118336</v>
      </c>
      <c r="F1746" s="14" t="s">
        <v>3889</v>
      </c>
      <c r="G1746" s="11"/>
      <c r="H1746" s="11"/>
      <c r="I1746" s="12">
        <v>1</v>
      </c>
      <c r="J1746" s="12">
        <v>0</v>
      </c>
      <c r="K1746" s="13" t="str">
        <f>HYPERLINK("http://twitter.com","Twitter Web Client")</f>
        <v>Twitter Web Client</v>
      </c>
      <c r="L1746" s="12">
        <v>8416</v>
      </c>
      <c r="M1746" s="12">
        <v>7138</v>
      </c>
      <c r="N1746" s="12">
        <v>244</v>
      </c>
      <c r="O1746" s="15"/>
      <c r="P1746" s="6">
        <v>40450.107210648144</v>
      </c>
      <c r="Q1746" s="16" t="s">
        <v>7254</v>
      </c>
      <c r="R1746" s="17" t="s">
        <v>7255</v>
      </c>
      <c r="S1746" s="14" t="s">
        <v>7256</v>
      </c>
      <c r="T1746" s="11"/>
      <c r="U1746" s="10" t="str">
        <f>HYPERLINK("https://pbs.twimg.com/profile_images/1062017432431312896/h_cb_xvp.jpg","View")</f>
        <v>View</v>
      </c>
    </row>
    <row r="1747" spans="1:21" ht="30.6">
      <c r="A1747" s="6">
        <v>43425.236076388886</v>
      </c>
      <c r="B1747" s="7" t="str">
        <f>HYPERLINK("https://twitter.com/SimonLoveZone","@SimonLoveZone")</f>
        <v>@SimonLoveZone</v>
      </c>
      <c r="C1747" s="8" t="s">
        <v>7257</v>
      </c>
      <c r="D1747" s="9" t="s">
        <v>7258</v>
      </c>
      <c r="E1747" s="10" t="str">
        <f>HYPERLINK("https://twitter.com/SimonLoveZone/status/1065238386728873984","1065238386728873984")</f>
        <v>1065238386728873984</v>
      </c>
      <c r="F1747" s="11"/>
      <c r="G1747" s="11"/>
      <c r="H1747" s="11"/>
      <c r="I1747" s="12">
        <v>0</v>
      </c>
      <c r="J1747" s="12">
        <v>1</v>
      </c>
      <c r="K1747" s="13" t="str">
        <f t="shared" ref="K1747:K1748" si="362">HYPERLINK("http://twitter.com/download/android","Twitter for Android")</f>
        <v>Twitter for Android</v>
      </c>
      <c r="L1747" s="12">
        <v>192</v>
      </c>
      <c r="M1747" s="12">
        <v>376</v>
      </c>
      <c r="N1747" s="12">
        <v>1</v>
      </c>
      <c r="O1747" s="15"/>
      <c r="P1747" s="6">
        <v>43279.221006944441</v>
      </c>
      <c r="Q1747" s="11"/>
      <c r="R1747" s="17" t="s">
        <v>7259</v>
      </c>
      <c r="S1747" s="14" t="s">
        <v>7260</v>
      </c>
      <c r="T1747" s="11"/>
      <c r="U1747" s="10" t="str">
        <f>HYPERLINK("https://pbs.twimg.com/profile_images/1063117109050441728/GTeGwyYO.jpg","View")</f>
        <v>View</v>
      </c>
    </row>
    <row r="1748" spans="1:21" ht="30.6">
      <c r="A1748" s="6">
        <v>43425.234236111108</v>
      </c>
      <c r="B1748" s="7" t="str">
        <f>HYPERLINK("https://twitter.com/condemorenawer","@condemorenawer")</f>
        <v>@condemorenawer</v>
      </c>
      <c r="C1748" s="8" t="s">
        <v>4076</v>
      </c>
      <c r="D1748" s="9" t="s">
        <v>4077</v>
      </c>
      <c r="E1748" s="10" t="str">
        <f>HYPERLINK("https://twitter.com/condemorenawer/status/1065237719918485506","1065237719918485506")</f>
        <v>1065237719918485506</v>
      </c>
      <c r="F1748" s="14" t="s">
        <v>4079</v>
      </c>
      <c r="G1748" s="11"/>
      <c r="H1748" s="11"/>
      <c r="I1748" s="12">
        <v>0</v>
      </c>
      <c r="J1748" s="12">
        <v>0</v>
      </c>
      <c r="K1748" s="13" t="str">
        <f t="shared" si="362"/>
        <v>Twitter for Android</v>
      </c>
      <c r="L1748" s="12">
        <v>392</v>
      </c>
      <c r="M1748" s="12">
        <v>3146</v>
      </c>
      <c r="N1748" s="12">
        <v>5</v>
      </c>
      <c r="O1748" s="15"/>
      <c r="P1748" s="6">
        <v>40788.362569444442</v>
      </c>
      <c r="Q1748" s="11"/>
      <c r="R1748" s="19"/>
      <c r="S1748" s="11"/>
      <c r="T1748" s="11"/>
      <c r="U1748" s="10" t="str">
        <f>HYPERLINK("https://pbs.twimg.com/profile_images/706140968135888897/Md_-4KzT.jpg","View")</f>
        <v>View</v>
      </c>
    </row>
    <row r="1749" spans="1:21" ht="30.6">
      <c r="A1749" s="6">
        <v>43425.233773148153</v>
      </c>
      <c r="B1749" s="7" t="str">
        <f>HYPERLINK("https://twitter.com/Rojillo2018","@Rojillo2018")</f>
        <v>@Rojillo2018</v>
      </c>
      <c r="C1749" s="8" t="s">
        <v>347</v>
      </c>
      <c r="D1749" s="9" t="s">
        <v>4082</v>
      </c>
      <c r="E1749" s="10" t="str">
        <f>HYPERLINK("https://twitter.com/Rojillo2018/status/1065237555250110466","1065237555250110466")</f>
        <v>1065237555250110466</v>
      </c>
      <c r="F1749" s="11"/>
      <c r="G1749" s="14" t="s">
        <v>4083</v>
      </c>
      <c r="H1749" s="11"/>
      <c r="I1749" s="12">
        <v>3</v>
      </c>
      <c r="J1749" s="12">
        <v>3</v>
      </c>
      <c r="K1749" s="13" t="str">
        <f t="shared" ref="K1749:K1750" si="363">HYPERLINK("http://twitter.com","Twitter Web Client")</f>
        <v>Twitter Web Client</v>
      </c>
      <c r="L1749" s="12">
        <v>449</v>
      </c>
      <c r="M1749" s="12">
        <v>1034</v>
      </c>
      <c r="N1749" s="12">
        <v>1</v>
      </c>
      <c r="O1749" s="15"/>
      <c r="P1749" s="6">
        <v>43416.25675925926</v>
      </c>
      <c r="Q1749" s="16" t="s">
        <v>352</v>
      </c>
      <c r="R1749" s="17" t="s">
        <v>353</v>
      </c>
      <c r="S1749" s="11"/>
      <c r="T1749" s="11"/>
      <c r="U1749" s="10" t="str">
        <f>HYPERLINK("https://pbs.twimg.com/profile_images/1063905639091642369/tNutwQbh.jpg","View")</f>
        <v>View</v>
      </c>
    </row>
    <row r="1750" spans="1:21" ht="102">
      <c r="A1750" s="6">
        <v>43425.23159722222</v>
      </c>
      <c r="B1750" s="7" t="str">
        <f>HYPERLINK("https://twitter.com/ManoloDauro","@ManoloDauro")</f>
        <v>@ManoloDauro</v>
      </c>
      <c r="C1750" s="8" t="s">
        <v>4084</v>
      </c>
      <c r="D1750" s="9" t="s">
        <v>4085</v>
      </c>
      <c r="E1750" s="10" t="str">
        <f>HYPERLINK("https://twitter.com/ManoloDauro/status/1065236766385426438","1065236766385426438")</f>
        <v>1065236766385426438</v>
      </c>
      <c r="F1750" s="14" t="s">
        <v>3749</v>
      </c>
      <c r="G1750" s="14" t="s">
        <v>3750</v>
      </c>
      <c r="H1750" s="11"/>
      <c r="I1750" s="12">
        <v>0</v>
      </c>
      <c r="J1750" s="12">
        <v>1</v>
      </c>
      <c r="K1750" s="13" t="str">
        <f t="shared" si="363"/>
        <v>Twitter Web Client</v>
      </c>
      <c r="L1750" s="12">
        <v>460</v>
      </c>
      <c r="M1750" s="12">
        <v>382</v>
      </c>
      <c r="N1750" s="12">
        <v>14</v>
      </c>
      <c r="O1750" s="15"/>
      <c r="P1750" s="6">
        <v>40699.349363425928</v>
      </c>
      <c r="Q1750" s="11"/>
      <c r="R1750" s="17" t="s">
        <v>4088</v>
      </c>
      <c r="S1750" s="11"/>
      <c r="T1750" s="11"/>
      <c r="U1750" s="10" t="str">
        <f>HYPERLINK("https://pbs.twimg.com/profile_images/1000402228585336832/sNK4RtHN.jpg","View")</f>
        <v>View</v>
      </c>
    </row>
    <row r="1751" spans="1:21" ht="91.8">
      <c r="A1751" s="6">
        <v>43425.231574074074</v>
      </c>
      <c r="B1751" s="7" t="str">
        <f>HYPERLINK("https://twitter.com/BoscoVera","@BoscoVera")</f>
        <v>@BoscoVera</v>
      </c>
      <c r="C1751" s="8" t="s">
        <v>4090</v>
      </c>
      <c r="D1751" s="9" t="s">
        <v>4091</v>
      </c>
      <c r="E1751" s="10" t="str">
        <f>HYPERLINK("https://twitter.com/BoscoVera/status/1065236756243595264","1065236756243595264")</f>
        <v>1065236756243595264</v>
      </c>
      <c r="F1751" s="16" t="s">
        <v>4092</v>
      </c>
      <c r="G1751" s="11"/>
      <c r="H1751" s="11"/>
      <c r="I1751" s="12">
        <v>6</v>
      </c>
      <c r="J1751" s="12">
        <v>9</v>
      </c>
      <c r="K1751" s="13" t="str">
        <f>HYPERLINK("http://twitter.com/download/iphone","Twitter for iPhone")</f>
        <v>Twitter for iPhone</v>
      </c>
      <c r="L1751" s="12">
        <v>1206</v>
      </c>
      <c r="M1751" s="12">
        <v>839</v>
      </c>
      <c r="N1751" s="12">
        <v>2</v>
      </c>
      <c r="O1751" s="15"/>
      <c r="P1751" s="6">
        <v>40412.667650462965</v>
      </c>
      <c r="Q1751" s="16" t="s">
        <v>4093</v>
      </c>
      <c r="R1751" s="17" t="s">
        <v>4094</v>
      </c>
      <c r="S1751" s="11"/>
      <c r="T1751" s="11"/>
      <c r="U1751" s="10" t="str">
        <f>HYPERLINK("https://pbs.twimg.com/profile_images/1008399762255761408/K2cY_Glc.jpg","View")</f>
        <v>View</v>
      </c>
    </row>
    <row r="1752" spans="1:21" ht="51">
      <c r="A1752" s="6">
        <v>43425.231145833328</v>
      </c>
      <c r="B1752" s="7" t="str">
        <f>HYPERLINK("https://twitter.com/ExpositoOrteg","@ExpositoOrteg")</f>
        <v>@ExpositoOrteg</v>
      </c>
      <c r="C1752" s="8" t="s">
        <v>4099</v>
      </c>
      <c r="D1752" s="9" t="s">
        <v>4100</v>
      </c>
      <c r="E1752" s="10" t="str">
        <f>HYPERLINK("https://twitter.com/ExpositoOrteg/status/1065236599733215232","1065236599733215232")</f>
        <v>1065236599733215232</v>
      </c>
      <c r="F1752" s="11"/>
      <c r="G1752" s="14" t="s">
        <v>4101</v>
      </c>
      <c r="H1752" s="11"/>
      <c r="I1752" s="12">
        <v>274</v>
      </c>
      <c r="J1752" s="12">
        <v>293</v>
      </c>
      <c r="K1752" s="13" t="str">
        <f t="shared" ref="K1752:K1754" si="364">HYPERLINK("http://twitter.com/download/android","Twitter for Android")</f>
        <v>Twitter for Android</v>
      </c>
      <c r="L1752" s="12">
        <v>19680</v>
      </c>
      <c r="M1752" s="12">
        <v>12915</v>
      </c>
      <c r="N1752" s="12">
        <v>102</v>
      </c>
      <c r="O1752" s="15"/>
      <c r="P1752" s="6">
        <v>41567.106932870374</v>
      </c>
      <c r="Q1752" s="16" t="s">
        <v>4104</v>
      </c>
      <c r="R1752" s="17" t="s">
        <v>4105</v>
      </c>
      <c r="S1752" s="11"/>
      <c r="T1752" s="11"/>
      <c r="U1752" s="10" t="str">
        <f>HYPERLINK("https://pbs.twimg.com/profile_images/1015569711843512320/N5iD7fWY.jpg","View")</f>
        <v>View</v>
      </c>
    </row>
    <row r="1753" spans="1:21" ht="51">
      <c r="A1753" s="6">
        <v>43425.230902777781</v>
      </c>
      <c r="B1753" s="7" t="str">
        <f>HYPERLINK("https://twitter.com/SOSBierzo","@SOSBierzo")</f>
        <v>@SOSBierzo</v>
      </c>
      <c r="C1753" s="8" t="s">
        <v>4110</v>
      </c>
      <c r="D1753" s="9" t="s">
        <v>4111</v>
      </c>
      <c r="E1753" s="10" t="str">
        <f>HYPERLINK("https://twitter.com/SOSBierzo/status/1065236511979917312","1065236511979917312")</f>
        <v>1065236511979917312</v>
      </c>
      <c r="F1753" s="14" t="s">
        <v>4112</v>
      </c>
      <c r="G1753" s="11"/>
      <c r="H1753" s="11"/>
      <c r="I1753" s="12">
        <v>0</v>
      </c>
      <c r="J1753" s="12">
        <v>0</v>
      </c>
      <c r="K1753" s="13" t="str">
        <f t="shared" si="364"/>
        <v>Twitter for Android</v>
      </c>
      <c r="L1753" s="12">
        <v>1135</v>
      </c>
      <c r="M1753" s="12">
        <v>1089</v>
      </c>
      <c r="N1753" s="12">
        <v>18</v>
      </c>
      <c r="O1753" s="15"/>
      <c r="P1753" s="6">
        <v>41166.188275462962</v>
      </c>
      <c r="Q1753" s="16" t="s">
        <v>4113</v>
      </c>
      <c r="R1753" s="17" t="s">
        <v>4114</v>
      </c>
      <c r="S1753" s="11"/>
      <c r="T1753" s="11"/>
      <c r="U1753" s="10" t="str">
        <f>HYPERLINK("https://pbs.twimg.com/profile_images/1058789338828472321/ZVn1u51o.jpg","View")</f>
        <v>View</v>
      </c>
    </row>
    <row r="1754" spans="1:21" ht="40.799999999999997">
      <c r="A1754" s="6">
        <v>43425.230717592596</v>
      </c>
      <c r="B1754" s="7" t="str">
        <f>HYPERLINK("https://twitter.com/josefaricharteg","@josefaricharteg")</f>
        <v>@josefaricharteg</v>
      </c>
      <c r="C1754" s="8" t="s">
        <v>4115</v>
      </c>
      <c r="D1754" s="9" t="s">
        <v>4116</v>
      </c>
      <c r="E1754" s="10" t="str">
        <f>HYPERLINK("https://twitter.com/josefaricharteg/status/1065236447970689024","1065236447970689024")</f>
        <v>1065236447970689024</v>
      </c>
      <c r="F1754" s="14" t="s">
        <v>4120</v>
      </c>
      <c r="G1754" s="11"/>
      <c r="H1754" s="11"/>
      <c r="I1754" s="12">
        <v>0</v>
      </c>
      <c r="J1754" s="12">
        <v>0</v>
      </c>
      <c r="K1754" s="13" t="str">
        <f t="shared" si="364"/>
        <v>Twitter for Android</v>
      </c>
      <c r="L1754" s="12">
        <v>711</v>
      </c>
      <c r="M1754" s="12">
        <v>253</v>
      </c>
      <c r="N1754" s="12">
        <v>11</v>
      </c>
      <c r="O1754" s="15"/>
      <c r="P1754" s="6">
        <v>41112.328657407408</v>
      </c>
      <c r="Q1754" s="11"/>
      <c r="R1754" s="19"/>
      <c r="S1754" s="11"/>
      <c r="T1754" s="11"/>
      <c r="U1754" s="10" t="str">
        <f>HYPERLINK("https://pbs.twimg.com/profile_images/3374262259/58c5ed274f7fe3d00514422da591511e.jpeg","View")</f>
        <v>View</v>
      </c>
    </row>
    <row r="1755" spans="1:21" ht="51">
      <c r="A1755" s="6">
        <v>43425.230624999997</v>
      </c>
      <c r="B1755" s="7" t="str">
        <f>HYPERLINK("https://twitter.com/ANeiraL","@ANeiraL")</f>
        <v>@ANeiraL</v>
      </c>
      <c r="C1755" s="8" t="s">
        <v>7261</v>
      </c>
      <c r="D1755" s="9" t="s">
        <v>7262</v>
      </c>
      <c r="E1755" s="10" t="str">
        <f>HYPERLINK("https://twitter.com/ANeiraL/status/1065236411589279744","1065236411589279744")</f>
        <v>1065236411589279744</v>
      </c>
      <c r="F1755" s="11"/>
      <c r="G1755" s="11"/>
      <c r="H1755" s="11"/>
      <c r="I1755" s="12">
        <v>0</v>
      </c>
      <c r="J1755" s="12">
        <v>2</v>
      </c>
      <c r="K1755" s="13" t="str">
        <f t="shared" ref="K1755:K1756" si="365">HYPERLINK("http://twitter.com","Twitter Web Client")</f>
        <v>Twitter Web Client</v>
      </c>
      <c r="L1755" s="12">
        <v>846</v>
      </c>
      <c r="M1755" s="12">
        <v>505</v>
      </c>
      <c r="N1755" s="12">
        <v>33</v>
      </c>
      <c r="O1755" s="15"/>
      <c r="P1755" s="6">
        <v>40617.156331018516</v>
      </c>
      <c r="Q1755" s="16" t="s">
        <v>4591</v>
      </c>
      <c r="R1755" s="17" t="s">
        <v>7263</v>
      </c>
      <c r="S1755" s="14" t="s">
        <v>7264</v>
      </c>
      <c r="T1755" s="11"/>
      <c r="U1755" s="10" t="str">
        <f>HYPERLINK("https://pbs.twimg.com/profile_images/1065269341778845696/2w8d-ZcM.jpg","View")</f>
        <v>View</v>
      </c>
    </row>
    <row r="1756" spans="1:21" ht="51">
      <c r="A1756" s="6">
        <v>43425.227951388893</v>
      </c>
      <c r="B1756" s="7" t="str">
        <f>HYPERLINK("https://twitter.com/ALCBDS_Asociaci","@ALCBDS_Asociaci")</f>
        <v>@ALCBDS_Asociaci</v>
      </c>
      <c r="C1756" s="8" t="s">
        <v>5620</v>
      </c>
      <c r="D1756" s="9" t="s">
        <v>7265</v>
      </c>
      <c r="E1756" s="10" t="str">
        <f>HYPERLINK("https://twitter.com/ALCBDS_Asociaci/status/1065235442205896704","1065235442205896704")</f>
        <v>1065235442205896704</v>
      </c>
      <c r="F1756" s="11"/>
      <c r="G1756" s="14" t="s">
        <v>7266</v>
      </c>
      <c r="H1756" s="11"/>
      <c r="I1756" s="12">
        <v>0</v>
      </c>
      <c r="J1756" s="12">
        <v>0</v>
      </c>
      <c r="K1756" s="13" t="str">
        <f t="shared" si="365"/>
        <v>Twitter Web Client</v>
      </c>
      <c r="L1756" s="12">
        <v>1205</v>
      </c>
      <c r="M1756" s="12">
        <v>501</v>
      </c>
      <c r="N1756" s="12">
        <v>32</v>
      </c>
      <c r="O1756" s="15"/>
      <c r="P1756" s="6">
        <v>41367.186932870369</v>
      </c>
      <c r="Q1756" s="16" t="s">
        <v>4819</v>
      </c>
      <c r="R1756" s="17" t="s">
        <v>5623</v>
      </c>
      <c r="S1756" s="14" t="s">
        <v>5624</v>
      </c>
      <c r="T1756" s="11"/>
      <c r="U1756" s="10" t="str">
        <f>HYPERLINK("https://pbs.twimg.com/profile_images/800651089620205568/5jXgLcuF.jpg","View")</f>
        <v>View</v>
      </c>
    </row>
    <row r="1757" spans="1:21" ht="40.799999999999997">
      <c r="A1757" s="6">
        <v>43425.225277777776</v>
      </c>
      <c r="B1757" s="7" t="str">
        <f>HYPERLINK("https://twitter.com/RaulUron","@RaulUron")</f>
        <v>@RaulUron</v>
      </c>
      <c r="C1757" s="8" t="s">
        <v>4122</v>
      </c>
      <c r="D1757" s="9" t="s">
        <v>4124</v>
      </c>
      <c r="E1757" s="10" t="str">
        <f>HYPERLINK("https://twitter.com/RaulUron/status/1065234474944868352","1065234474944868352")</f>
        <v>1065234474944868352</v>
      </c>
      <c r="F1757" s="11"/>
      <c r="G1757" s="11"/>
      <c r="H1757" s="11"/>
      <c r="I1757" s="12">
        <v>0</v>
      </c>
      <c r="J1757" s="12">
        <v>0</v>
      </c>
      <c r="K1757" s="13" t="str">
        <f>HYPERLINK("http://twitter.com/download/iphone","Twitter for iPhone")</f>
        <v>Twitter for iPhone</v>
      </c>
      <c r="L1757" s="12">
        <v>59</v>
      </c>
      <c r="M1757" s="12">
        <v>137</v>
      </c>
      <c r="N1757" s="12">
        <v>0</v>
      </c>
      <c r="O1757" s="15"/>
      <c r="P1757" s="6">
        <v>40674.293043981481</v>
      </c>
      <c r="Q1757" s="11"/>
      <c r="R1757" s="19"/>
      <c r="S1757" s="11"/>
      <c r="T1757" s="11"/>
      <c r="U1757" s="10" t="str">
        <f>HYPERLINK("https://pbs.twimg.com/profile_images/1029811402561777664/QxTr3x6D.jpg","View")</f>
        <v>View</v>
      </c>
    </row>
    <row r="1758" spans="1:21" ht="51">
      <c r="A1758" s="6">
        <v>43425.224143518513</v>
      </c>
      <c r="B1758" s="7" t="str">
        <f>HYPERLINK("https://twitter.com/amigosdelche","@amigosdelche")</f>
        <v>@amigosdelche</v>
      </c>
      <c r="C1758" s="8" t="s">
        <v>7267</v>
      </c>
      <c r="D1758" s="9" t="s">
        <v>7268</v>
      </c>
      <c r="E1758" s="10" t="str">
        <f>HYPERLINK("https://twitter.com/amigosdelche/status/1065234063965982720","1065234063965982720")</f>
        <v>1065234063965982720</v>
      </c>
      <c r="F1758" s="14" t="s">
        <v>3817</v>
      </c>
      <c r="G1758" s="11"/>
      <c r="H1758" s="11"/>
      <c r="I1758" s="12">
        <v>0</v>
      </c>
      <c r="J1758" s="12">
        <v>0</v>
      </c>
      <c r="K1758" s="13" t="str">
        <f t="shared" ref="K1758:K1759" si="366">HYPERLINK("http://www.facebook.com/twitter","Facebook")</f>
        <v>Facebook</v>
      </c>
      <c r="L1758" s="12">
        <v>102</v>
      </c>
      <c r="M1758" s="12">
        <v>93</v>
      </c>
      <c r="N1758" s="12">
        <v>2</v>
      </c>
      <c r="O1758" s="15"/>
      <c r="P1758" s="6">
        <v>41529.663229166668</v>
      </c>
      <c r="Q1758" s="11"/>
      <c r="R1758" s="19"/>
      <c r="S1758" s="11"/>
      <c r="T1758" s="11"/>
      <c r="U1758" s="10" t="str">
        <f>HYPERLINK("https://pbs.twimg.com/profile_images/665952271604297728/diInJwD4.jpg","View")</f>
        <v>View</v>
      </c>
    </row>
    <row r="1759" spans="1:21" ht="20.399999999999999">
      <c r="A1759" s="6">
        <v>43425.218078703707</v>
      </c>
      <c r="B1759" s="7" t="str">
        <f>HYPERLINK("https://twitter.com/monehiba","@monehiba")</f>
        <v>@monehiba</v>
      </c>
      <c r="C1759" s="8" t="s">
        <v>7269</v>
      </c>
      <c r="D1759" s="9" t="s">
        <v>3000</v>
      </c>
      <c r="E1759" s="10" t="str">
        <f>HYPERLINK("https://twitter.com/monehiba/status/1065231866918248449","1065231866918248449")</f>
        <v>1065231866918248449</v>
      </c>
      <c r="F1759" s="14" t="s">
        <v>7270</v>
      </c>
      <c r="G1759" s="11"/>
      <c r="H1759" s="11"/>
      <c r="I1759" s="12">
        <v>0</v>
      </c>
      <c r="J1759" s="12">
        <v>0</v>
      </c>
      <c r="K1759" s="13" t="str">
        <f t="shared" si="366"/>
        <v>Facebook</v>
      </c>
      <c r="L1759" s="12">
        <v>550</v>
      </c>
      <c r="M1759" s="12">
        <v>1658</v>
      </c>
      <c r="N1759" s="12">
        <v>7</v>
      </c>
      <c r="O1759" s="15"/>
      <c r="P1759" s="6">
        <v>40552.509398148148</v>
      </c>
      <c r="Q1759" s="16" t="s">
        <v>7271</v>
      </c>
      <c r="R1759" s="17" t="s">
        <v>7272</v>
      </c>
      <c r="S1759" s="11"/>
      <c r="T1759" s="11"/>
      <c r="U1759" s="10" t="str">
        <f>HYPERLINK("https://pbs.twimg.com/profile_images/449274943914532864/uE5AfLyG.jpeg","View")</f>
        <v>View</v>
      </c>
    </row>
    <row r="1760" spans="1:21" ht="51">
      <c r="A1760" s="6">
        <v>43425.217106481483</v>
      </c>
      <c r="B1760" s="7" t="str">
        <f>HYPERLINK("https://twitter.com/ArmandoRuido007","@ArmandoRuido007")</f>
        <v>@ArmandoRuido007</v>
      </c>
      <c r="C1760" s="8" t="s">
        <v>7273</v>
      </c>
      <c r="D1760" s="9" t="s">
        <v>7274</v>
      </c>
      <c r="E1760" s="10" t="str">
        <f>HYPERLINK("https://twitter.com/ArmandoRuido007/status/1065231513090957312","1065231513090957312")</f>
        <v>1065231513090957312</v>
      </c>
      <c r="F1760" s="14" t="s">
        <v>4200</v>
      </c>
      <c r="G1760" s="11"/>
      <c r="H1760" s="11"/>
      <c r="I1760" s="12">
        <v>50</v>
      </c>
      <c r="J1760" s="12">
        <v>39</v>
      </c>
      <c r="K1760" s="13" t="str">
        <f t="shared" ref="K1760:K1761" si="367">HYPERLINK("http://twitter.com/download/android","Twitter for Android")</f>
        <v>Twitter for Android</v>
      </c>
      <c r="L1760" s="12">
        <v>509</v>
      </c>
      <c r="M1760" s="12">
        <v>323</v>
      </c>
      <c r="N1760" s="12">
        <v>1</v>
      </c>
      <c r="O1760" s="15"/>
      <c r="P1760" s="6">
        <v>43188.65016203704</v>
      </c>
      <c r="Q1760" s="11"/>
      <c r="R1760" s="17" t="s">
        <v>7275</v>
      </c>
      <c r="S1760" s="11"/>
      <c r="T1760" s="11"/>
      <c r="U1760" s="10" t="str">
        <f>HYPERLINK("https://pbs.twimg.com/profile_images/980814147603566592/FUXbnVvk.jpg","View")</f>
        <v>View</v>
      </c>
    </row>
    <row r="1761" spans="1:21" ht="51">
      <c r="A1761" s="6">
        <v>43425.214872685188</v>
      </c>
      <c r="B1761" s="7" t="str">
        <f>HYPERLINK("https://twitter.com/twiterdeelfakir","@twiterdeelfakir")</f>
        <v>@twiterdeelfakir</v>
      </c>
      <c r="C1761" s="8" t="s">
        <v>4126</v>
      </c>
      <c r="D1761" s="9" t="s">
        <v>4127</v>
      </c>
      <c r="E1761" s="10" t="str">
        <f>HYPERLINK("https://twitter.com/twiterdeelfakir/status/1065230703250587648","1065230703250587648")</f>
        <v>1065230703250587648</v>
      </c>
      <c r="F1761" s="14" t="s">
        <v>4128</v>
      </c>
      <c r="G1761" s="11"/>
      <c r="H1761" s="11"/>
      <c r="I1761" s="12">
        <v>6</v>
      </c>
      <c r="J1761" s="12">
        <v>10</v>
      </c>
      <c r="K1761" s="13" t="str">
        <f t="shared" si="367"/>
        <v>Twitter for Android</v>
      </c>
      <c r="L1761" s="12">
        <v>5477</v>
      </c>
      <c r="M1761" s="12">
        <v>5185</v>
      </c>
      <c r="N1761" s="12">
        <v>155</v>
      </c>
      <c r="O1761" s="15"/>
      <c r="P1761" s="6">
        <v>40306.188622685186</v>
      </c>
      <c r="Q1761" s="11"/>
      <c r="R1761" s="17" t="s">
        <v>4129</v>
      </c>
      <c r="S1761" s="11"/>
      <c r="T1761" s="11"/>
      <c r="U1761" s="10" t="str">
        <f>HYPERLINK("https://pbs.twimg.com/profile_images/1063432165164285954/TCn4sdvu.jpg","View")</f>
        <v>View</v>
      </c>
    </row>
    <row r="1762" spans="1:21" ht="30.6">
      <c r="A1762" s="6">
        <v>43425.214374999996</v>
      </c>
      <c r="B1762" s="7" t="str">
        <f>HYPERLINK("https://twitter.com/lapaseata","@lapaseata")</f>
        <v>@lapaseata</v>
      </c>
      <c r="C1762" s="8" t="s">
        <v>7276</v>
      </c>
      <c r="D1762" s="9" t="s">
        <v>7277</v>
      </c>
      <c r="E1762" s="10" t="str">
        <f>HYPERLINK("https://twitter.com/lapaseata/status/1065230524703277058","1065230524703277058")</f>
        <v>1065230524703277058</v>
      </c>
      <c r="F1762" s="14" t="s">
        <v>7278</v>
      </c>
      <c r="G1762" s="14" t="s">
        <v>7279</v>
      </c>
      <c r="H1762" s="11"/>
      <c r="I1762" s="12">
        <v>1</v>
      </c>
      <c r="J1762" s="12">
        <v>2</v>
      </c>
      <c r="K1762" s="13" t="str">
        <f t="shared" ref="K1762:K1764" si="368">HYPERLINK("http://twitter.com","Twitter Web Client")</f>
        <v>Twitter Web Client</v>
      </c>
      <c r="L1762" s="12">
        <v>7791</v>
      </c>
      <c r="M1762" s="12">
        <v>7572</v>
      </c>
      <c r="N1762" s="12">
        <v>65</v>
      </c>
      <c r="O1762" s="15"/>
      <c r="P1762" s="6">
        <v>40524.362581018519</v>
      </c>
      <c r="Q1762" s="16" t="s">
        <v>7280</v>
      </c>
      <c r="R1762" s="17" t="s">
        <v>7281</v>
      </c>
      <c r="S1762" s="14" t="s">
        <v>7282</v>
      </c>
      <c r="T1762" s="11"/>
      <c r="U1762" s="10" t="str">
        <f>HYPERLINK("https://pbs.twimg.com/profile_images/631047449524744192/3yyUmZJ5.jpg","View")</f>
        <v>View</v>
      </c>
    </row>
    <row r="1763" spans="1:21" ht="13.2">
      <c r="A1763" s="6">
        <v>43425.214097222226</v>
      </c>
      <c r="B1763" s="7" t="str">
        <f>HYPERLINK("https://twitter.com/enric12497720","@enric12497720")</f>
        <v>@enric12497720</v>
      </c>
      <c r="C1763" s="8" t="s">
        <v>7283</v>
      </c>
      <c r="D1763" s="9" t="s">
        <v>7284</v>
      </c>
      <c r="E1763" s="10" t="str">
        <f>HYPERLINK("https://twitter.com/enric12497720/status/1065230423268171776","1065230423268171776")</f>
        <v>1065230423268171776</v>
      </c>
      <c r="F1763" s="14" t="s">
        <v>7285</v>
      </c>
      <c r="G1763" s="11"/>
      <c r="H1763" s="11"/>
      <c r="I1763" s="12">
        <v>0</v>
      </c>
      <c r="J1763" s="12">
        <v>0</v>
      </c>
      <c r="K1763" s="13" t="str">
        <f t="shared" si="368"/>
        <v>Twitter Web Client</v>
      </c>
      <c r="L1763" s="12">
        <v>9</v>
      </c>
      <c r="M1763" s="12">
        <v>96</v>
      </c>
      <c r="N1763" s="12">
        <v>0</v>
      </c>
      <c r="O1763" s="15"/>
      <c r="P1763" s="6">
        <v>41996.089386574073</v>
      </c>
      <c r="Q1763" s="16" t="s">
        <v>407</v>
      </c>
      <c r="R1763" s="17" t="s">
        <v>7286</v>
      </c>
      <c r="S1763" s="11"/>
      <c r="T1763" s="11"/>
      <c r="U1763" s="10" t="str">
        <f>HYPERLINK("https://pbs.twimg.com/profile_images/922107935941120000/tl1aN0Df.jpg","View")</f>
        <v>View</v>
      </c>
    </row>
    <row r="1764" spans="1:21" ht="20.399999999999999">
      <c r="A1764" s="6">
        <v>43425.211851851855</v>
      </c>
      <c r="B1764" s="7" t="str">
        <f>HYPERLINK("https://twitter.com/SANDALIOCARMONA","@SANDALIOCARMONA")</f>
        <v>@SANDALIOCARMONA</v>
      </c>
      <c r="C1764" s="8" t="s">
        <v>7287</v>
      </c>
      <c r="D1764" s="9" t="s">
        <v>7288</v>
      </c>
      <c r="E1764" s="10" t="str">
        <f>HYPERLINK("https://twitter.com/SANDALIOCARMONA/status/1065229609141190656","1065229609141190656")</f>
        <v>1065229609141190656</v>
      </c>
      <c r="F1764" s="14" t="s">
        <v>4200</v>
      </c>
      <c r="G1764" s="11"/>
      <c r="H1764" s="11"/>
      <c r="I1764" s="12">
        <v>0</v>
      </c>
      <c r="J1764" s="12">
        <v>0</v>
      </c>
      <c r="K1764" s="13" t="str">
        <f t="shared" si="368"/>
        <v>Twitter Web Client</v>
      </c>
      <c r="L1764" s="12">
        <v>1217</v>
      </c>
      <c r="M1764" s="12">
        <v>1180</v>
      </c>
      <c r="N1764" s="12">
        <v>23</v>
      </c>
      <c r="O1764" s="15"/>
      <c r="P1764" s="6">
        <v>40855.544328703705</v>
      </c>
      <c r="Q1764" s="16" t="s">
        <v>7289</v>
      </c>
      <c r="R1764" s="17" t="s">
        <v>7290</v>
      </c>
      <c r="S1764" s="11"/>
      <c r="T1764" s="11"/>
      <c r="U1764" s="10" t="str">
        <f>HYPERLINK("https://pbs.twimg.com/profile_images/3594025054/dad44f7b1b0e8a1457926005d80128f7.jpeg","View")</f>
        <v>View</v>
      </c>
    </row>
    <row r="1765" spans="1:21" ht="40.799999999999997">
      <c r="A1765" s="6">
        <v>43425.209722222222</v>
      </c>
      <c r="B1765" s="7" t="str">
        <f t="shared" ref="B1765:B1766" si="369">HYPERLINK("https://twitter.com/bitMomentum","@bitMomentum")</f>
        <v>@bitMomentum</v>
      </c>
      <c r="C1765" s="8" t="s">
        <v>1033</v>
      </c>
      <c r="D1765" s="9" t="s">
        <v>4132</v>
      </c>
      <c r="E1765" s="10" t="str">
        <f>HYPERLINK("https://twitter.com/bitMomentum/status/1065228835925446656","1065228835925446656")</f>
        <v>1065228835925446656</v>
      </c>
      <c r="F1765" s="11"/>
      <c r="G1765" s="11"/>
      <c r="H1765" s="11"/>
      <c r="I1765" s="12">
        <v>0</v>
      </c>
      <c r="J1765" s="12">
        <v>0</v>
      </c>
      <c r="K1765" s="13" t="str">
        <f t="shared" ref="K1765:K1766" si="370">HYPERLINK("http://www.bitmomentum.com","bitMomentum Bot")</f>
        <v>bitMomentum Bot</v>
      </c>
      <c r="L1765" s="12">
        <v>10132</v>
      </c>
      <c r="M1765" s="12">
        <v>1060</v>
      </c>
      <c r="N1765" s="12">
        <v>267</v>
      </c>
      <c r="O1765" s="15"/>
      <c r="P1765" s="6">
        <v>41608.292511574073</v>
      </c>
      <c r="Q1765" s="11"/>
      <c r="R1765" s="17" t="s">
        <v>1038</v>
      </c>
      <c r="S1765" s="14" t="s">
        <v>1039</v>
      </c>
      <c r="T1765" s="11"/>
      <c r="U1765" s="10" t="str">
        <f t="shared" ref="U1765:U1766" si="371">HYPERLINK("https://pbs.twimg.com/profile_images/378800000862185241/20ij2H3u.png","View")</f>
        <v>View</v>
      </c>
    </row>
    <row r="1766" spans="1:21" ht="40.799999999999997">
      <c r="A1766" s="6">
        <v>43425.209027777775</v>
      </c>
      <c r="B1766" s="7" t="str">
        <f t="shared" si="369"/>
        <v>@bitMomentum</v>
      </c>
      <c r="C1766" s="8" t="s">
        <v>1033</v>
      </c>
      <c r="D1766" s="9" t="s">
        <v>4140</v>
      </c>
      <c r="E1766" s="10" t="str">
        <f>HYPERLINK("https://twitter.com/bitMomentum/status/1065228584216928256","1065228584216928256")</f>
        <v>1065228584216928256</v>
      </c>
      <c r="F1766" s="11"/>
      <c r="G1766" s="11"/>
      <c r="H1766" s="11"/>
      <c r="I1766" s="12">
        <v>0</v>
      </c>
      <c r="J1766" s="12">
        <v>0</v>
      </c>
      <c r="K1766" s="13" t="str">
        <f t="shared" si="370"/>
        <v>bitMomentum Bot</v>
      </c>
      <c r="L1766" s="12">
        <v>10132</v>
      </c>
      <c r="M1766" s="12">
        <v>1060</v>
      </c>
      <c r="N1766" s="12">
        <v>267</v>
      </c>
      <c r="O1766" s="15"/>
      <c r="P1766" s="6">
        <v>41608.292511574073</v>
      </c>
      <c r="Q1766" s="11"/>
      <c r="R1766" s="17" t="s">
        <v>1038</v>
      </c>
      <c r="S1766" s="14" t="s">
        <v>1039</v>
      </c>
      <c r="T1766" s="11"/>
      <c r="U1766" s="10" t="str">
        <f t="shared" si="371"/>
        <v>View</v>
      </c>
    </row>
    <row r="1767" spans="1:21" ht="61.2">
      <c r="A1767" s="6">
        <v>43425.208865740744</v>
      </c>
      <c r="B1767" s="7" t="str">
        <f>HYPERLINK("https://twitter.com/ciberiaentweet","@ciberiaentweet")</f>
        <v>@ciberiaentweet</v>
      </c>
      <c r="C1767" s="8" t="s">
        <v>1579</v>
      </c>
      <c r="D1767" s="9" t="s">
        <v>4141</v>
      </c>
      <c r="E1767" s="10" t="str">
        <f>HYPERLINK("https://twitter.com/ciberiaentweet/status/1065228526306164736","1065228526306164736")</f>
        <v>1065228526306164736</v>
      </c>
      <c r="F1767" s="11"/>
      <c r="G1767" s="14" t="s">
        <v>4142</v>
      </c>
      <c r="H1767" s="11"/>
      <c r="I1767" s="12">
        <v>0</v>
      </c>
      <c r="J1767" s="12">
        <v>0</v>
      </c>
      <c r="K1767" s="13" t="str">
        <f>HYPERLINK("http://twitter.com","Twitter Web Client")</f>
        <v>Twitter Web Client</v>
      </c>
      <c r="L1767" s="12">
        <v>941</v>
      </c>
      <c r="M1767" s="12">
        <v>868</v>
      </c>
      <c r="N1767" s="12">
        <v>70</v>
      </c>
      <c r="O1767" s="15"/>
      <c r="P1767" s="6">
        <v>40261.249328703707</v>
      </c>
      <c r="Q1767" s="16" t="s">
        <v>1582</v>
      </c>
      <c r="R1767" s="17" t="s">
        <v>1584</v>
      </c>
      <c r="S1767" s="14" t="s">
        <v>1586</v>
      </c>
      <c r="T1767" s="11"/>
      <c r="U1767" s="10" t="str">
        <f>HYPERLINK("https://pbs.twimg.com/profile_images/1048925070389862402/W26X2_nz.jpg","View")</f>
        <v>View</v>
      </c>
    </row>
    <row r="1768" spans="1:21" ht="51">
      <c r="A1768" s="6">
        <v>43425.208784722221</v>
      </c>
      <c r="B1768" s="7" t="str">
        <f>HYPERLINK("https://twitter.com/Und_rConstr","@Und_rConstr")</f>
        <v>@Und_rConstr</v>
      </c>
      <c r="C1768" s="8" t="s">
        <v>7291</v>
      </c>
      <c r="D1768" s="9" t="s">
        <v>7292</v>
      </c>
      <c r="E1768" s="10" t="str">
        <f>HYPERLINK("https://twitter.com/Und_rConstr/status/1065228497633841152","1065228497633841152")</f>
        <v>1065228497633841152</v>
      </c>
      <c r="F1768" s="14" t="s">
        <v>7293</v>
      </c>
      <c r="G1768" s="14" t="s">
        <v>7294</v>
      </c>
      <c r="H1768" s="11"/>
      <c r="I1768" s="12">
        <v>4</v>
      </c>
      <c r="J1768" s="12">
        <v>5</v>
      </c>
      <c r="K1768" s="13" t="str">
        <f>HYPERLINK("http://twitter.com/download/android","Twitter for Android")</f>
        <v>Twitter for Android</v>
      </c>
      <c r="L1768" s="12">
        <v>510</v>
      </c>
      <c r="M1768" s="12">
        <v>3108</v>
      </c>
      <c r="N1768" s="12">
        <v>8</v>
      </c>
      <c r="O1768" s="15"/>
      <c r="P1768" s="6">
        <v>42766.082048611112</v>
      </c>
      <c r="Q1768" s="16" t="s">
        <v>87</v>
      </c>
      <c r="R1768" s="17" t="s">
        <v>7295</v>
      </c>
      <c r="S1768" s="14" t="s">
        <v>7293</v>
      </c>
      <c r="T1768" s="11"/>
      <c r="U1768" s="10" t="str">
        <f>HYPERLINK("https://pbs.twimg.com/profile_images/883887974756360192/VFZEVP0L.jpg","View")</f>
        <v>View</v>
      </c>
    </row>
    <row r="1769" spans="1:21" ht="40.799999999999997">
      <c r="A1769" s="6">
        <v>43425.208333333328</v>
      </c>
      <c r="B1769" s="7" t="str">
        <f>HYPERLINK("https://twitter.com/SextaNocheTV","@SextaNocheTV")</f>
        <v>@SextaNocheTV</v>
      </c>
      <c r="C1769" s="8" t="s">
        <v>7108</v>
      </c>
      <c r="D1769" s="9" t="s">
        <v>7296</v>
      </c>
      <c r="E1769" s="10" t="str">
        <f>HYPERLINK("https://twitter.com/SextaNocheTV/status/1065228333435244544","1065228333435244544")</f>
        <v>1065228333435244544</v>
      </c>
      <c r="F1769" s="14" t="s">
        <v>7297</v>
      </c>
      <c r="G1769" s="11"/>
      <c r="H1769" s="11"/>
      <c r="I1769" s="12">
        <v>0</v>
      </c>
      <c r="J1769" s="12">
        <v>1</v>
      </c>
      <c r="K1769" s="13" t="str">
        <f>HYPERLINK("http://dogtrack.es","DogTrack_Oficial")</f>
        <v>DogTrack_Oficial</v>
      </c>
      <c r="L1769" s="12">
        <v>162126</v>
      </c>
      <c r="M1769" s="12">
        <v>594</v>
      </c>
      <c r="N1769" s="12">
        <v>1218</v>
      </c>
      <c r="O1769" s="18" t="s">
        <v>52</v>
      </c>
      <c r="P1769" s="6">
        <v>41296.193692129629</v>
      </c>
      <c r="Q1769" s="11"/>
      <c r="R1769" s="17" t="s">
        <v>7110</v>
      </c>
      <c r="S1769" s="14" t="s">
        <v>7111</v>
      </c>
      <c r="T1769" s="11"/>
      <c r="U1769" s="10" t="str">
        <f>HYPERLINK("https://pbs.twimg.com/profile_images/848253956446924800/O5oRyKJi.jpg","View")</f>
        <v>View</v>
      </c>
    </row>
    <row r="1770" spans="1:21" ht="30.6">
      <c r="A1770" s="6">
        <v>43425.205462962964</v>
      </c>
      <c r="B1770" s="7" t="str">
        <f>HYPERLINK("https://twitter.com/curroflores1952","@curroflores1952")</f>
        <v>@curroflores1952</v>
      </c>
      <c r="C1770" s="8" t="s">
        <v>7298</v>
      </c>
      <c r="D1770" s="9" t="s">
        <v>7189</v>
      </c>
      <c r="E1770" s="10" t="str">
        <f>HYPERLINK("https://twitter.com/curroflores1952/status/1065227292308312071","1065227292308312071")</f>
        <v>1065227292308312071</v>
      </c>
      <c r="F1770" s="14" t="s">
        <v>4200</v>
      </c>
      <c r="G1770" s="11"/>
      <c r="H1770" s="11"/>
      <c r="I1770" s="12">
        <v>2</v>
      </c>
      <c r="J1770" s="12">
        <v>0</v>
      </c>
      <c r="K1770" s="13" t="str">
        <f>HYPERLINK("http://twitter.com/download/android","Twitter for Android")</f>
        <v>Twitter for Android</v>
      </c>
      <c r="L1770" s="12">
        <v>42322</v>
      </c>
      <c r="M1770" s="12">
        <v>45037</v>
      </c>
      <c r="N1770" s="12">
        <v>328</v>
      </c>
      <c r="O1770" s="15"/>
      <c r="P1770" s="6">
        <v>41048.541099537033</v>
      </c>
      <c r="Q1770" s="16" t="s">
        <v>3147</v>
      </c>
      <c r="R1770" s="17" t="s">
        <v>7299</v>
      </c>
      <c r="S1770" s="14" t="s">
        <v>7300</v>
      </c>
      <c r="T1770" s="11"/>
      <c r="U1770" s="10" t="str">
        <f>HYPERLINK("https://pbs.twimg.com/profile_images/453068623662174208/a_0n3b6e.jpeg","View")</f>
        <v>View</v>
      </c>
    </row>
    <row r="1771" spans="1:21" ht="30.6">
      <c r="A1771" s="6">
        <v>43425.20521990741</v>
      </c>
      <c r="B1771" s="7" t="str">
        <f>HYPERLINK("https://twitter.com/Ferkamp20","@Ferkamp20")</f>
        <v>@Ferkamp20</v>
      </c>
      <c r="C1771" s="8" t="s">
        <v>7301</v>
      </c>
      <c r="D1771" s="9" t="s">
        <v>7189</v>
      </c>
      <c r="E1771" s="10" t="str">
        <f>HYPERLINK("https://twitter.com/Ferkamp20/status/1065227203804360709","1065227203804360709")</f>
        <v>1065227203804360709</v>
      </c>
      <c r="F1771" s="14" t="s">
        <v>4200</v>
      </c>
      <c r="G1771" s="11"/>
      <c r="H1771" s="11"/>
      <c r="I1771" s="12">
        <v>0</v>
      </c>
      <c r="J1771" s="12">
        <v>0</v>
      </c>
      <c r="K1771" s="13" t="str">
        <f>HYPERLINK("http://twitter.com","Twitter Web Client")</f>
        <v>Twitter Web Client</v>
      </c>
      <c r="L1771" s="12">
        <v>2009</v>
      </c>
      <c r="M1771" s="12">
        <v>1787</v>
      </c>
      <c r="N1771" s="12">
        <v>24</v>
      </c>
      <c r="O1771" s="15"/>
      <c r="P1771" s="6">
        <v>40445.16070601852</v>
      </c>
      <c r="Q1771" s="16" t="s">
        <v>38</v>
      </c>
      <c r="R1771" s="17" t="s">
        <v>7302</v>
      </c>
      <c r="S1771" s="11"/>
      <c r="T1771" s="11"/>
      <c r="U1771" s="10" t="str">
        <f>HYPERLINK("https://pbs.twimg.com/profile_images/771975130931134464/8xV4lp9r.jpg","View")</f>
        <v>View</v>
      </c>
    </row>
    <row r="1772" spans="1:21" ht="20.399999999999999">
      <c r="A1772" s="6">
        <v>43425.201087962967</v>
      </c>
      <c r="B1772" s="7" t="str">
        <f>HYPERLINK("https://twitter.com/alav2012","@alav2012")</f>
        <v>@alav2012</v>
      </c>
      <c r="C1772" s="8" t="s">
        <v>624</v>
      </c>
      <c r="D1772" s="9" t="s">
        <v>7189</v>
      </c>
      <c r="E1772" s="10" t="str">
        <f>HYPERLINK("https://twitter.com/alav2012/status/1065225708073598977","1065225708073598977")</f>
        <v>1065225708073598977</v>
      </c>
      <c r="F1772" s="14" t="s">
        <v>4200</v>
      </c>
      <c r="G1772" s="11"/>
      <c r="H1772" s="11"/>
      <c r="I1772" s="12">
        <v>0</v>
      </c>
      <c r="J1772" s="12">
        <v>0</v>
      </c>
      <c r="K1772" s="13" t="str">
        <f>HYPERLINK("http://twitter.com/download/android","Twitter for Android")</f>
        <v>Twitter for Android</v>
      </c>
      <c r="L1772" s="12">
        <v>13074</v>
      </c>
      <c r="M1772" s="12">
        <v>13760</v>
      </c>
      <c r="N1772" s="12">
        <v>24</v>
      </c>
      <c r="O1772" s="15"/>
      <c r="P1772" s="6">
        <v>41251.639976851853</v>
      </c>
      <c r="Q1772" s="16" t="s">
        <v>628</v>
      </c>
      <c r="R1772" s="19"/>
      <c r="S1772" s="11"/>
      <c r="T1772" s="11"/>
      <c r="U1772" s="10" t="str">
        <f>HYPERLINK("https://pbs.twimg.com/profile_images/2953608355/4490ac1b835f73e3cd80ddf8d395257b.jpeg","View")</f>
        <v>View</v>
      </c>
    </row>
    <row r="1773" spans="1:21" ht="40.799999999999997">
      <c r="A1773" s="6">
        <v>43425.200219907405</v>
      </c>
      <c r="B1773" s="7" t="str">
        <f>HYPERLINK("https://twitter.com/arturelpayaso2","@arturelpayaso2")</f>
        <v>@arturelpayaso2</v>
      </c>
      <c r="C1773" s="8" t="s">
        <v>7303</v>
      </c>
      <c r="D1773" s="9" t="s">
        <v>7304</v>
      </c>
      <c r="E1773" s="10" t="str">
        <f>HYPERLINK("https://twitter.com/arturelpayaso2/status/1065225394796838914","1065225394796838914")</f>
        <v>1065225394796838914</v>
      </c>
      <c r="F1773" s="14" t="s">
        <v>4079</v>
      </c>
      <c r="G1773" s="11"/>
      <c r="H1773" s="11"/>
      <c r="I1773" s="12">
        <v>56</v>
      </c>
      <c r="J1773" s="12">
        <v>53</v>
      </c>
      <c r="K1773" s="13" t="str">
        <f>HYPERLINK("http://twitter.com","Twitter Web Client")</f>
        <v>Twitter Web Client</v>
      </c>
      <c r="L1773" s="12">
        <v>22276</v>
      </c>
      <c r="M1773" s="12">
        <v>4927</v>
      </c>
      <c r="N1773" s="12">
        <v>142</v>
      </c>
      <c r="O1773" s="15"/>
      <c r="P1773" s="6">
        <v>42514.342685185184</v>
      </c>
      <c r="Q1773" s="16" t="s">
        <v>7305</v>
      </c>
      <c r="R1773" s="17" t="s">
        <v>7306</v>
      </c>
      <c r="S1773" s="11"/>
      <c r="T1773" s="11"/>
      <c r="U1773" s="10" t="str">
        <f>HYPERLINK("https://pbs.twimg.com/profile_images/1008798326878343168/_PyUUais.jpg","View")</f>
        <v>View</v>
      </c>
    </row>
    <row r="1774" spans="1:21" ht="20.399999999999999">
      <c r="A1774" s="6">
        <v>43425.199363425927</v>
      </c>
      <c r="B1774" s="7" t="str">
        <f>HYPERLINK("https://twitter.com/vicbaguer","@vicbaguer")</f>
        <v>@vicbaguer</v>
      </c>
      <c r="C1774" s="8" t="s">
        <v>3766</v>
      </c>
      <c r="D1774" s="9" t="s">
        <v>6607</v>
      </c>
      <c r="E1774" s="10" t="str">
        <f>HYPERLINK("https://twitter.com/vicbaguer/status/1065225083512340480","1065225083512340480")</f>
        <v>1065225083512340480</v>
      </c>
      <c r="F1774" s="14" t="s">
        <v>6608</v>
      </c>
      <c r="G1774" s="11"/>
      <c r="H1774" s="11"/>
      <c r="I1774" s="12">
        <v>0</v>
      </c>
      <c r="J1774" s="12">
        <v>0</v>
      </c>
      <c r="K1774" s="13" t="str">
        <f>HYPERLINK("http://twitter.com/download/android","Twitter for Android")</f>
        <v>Twitter for Android</v>
      </c>
      <c r="L1774" s="12">
        <v>564</v>
      </c>
      <c r="M1774" s="12">
        <v>622</v>
      </c>
      <c r="N1774" s="12">
        <v>4</v>
      </c>
      <c r="O1774" s="15"/>
      <c r="P1774" s="6">
        <v>43025.579618055555</v>
      </c>
      <c r="Q1774" s="16" t="s">
        <v>3771</v>
      </c>
      <c r="R1774" s="17" t="s">
        <v>3772</v>
      </c>
      <c r="S1774" s="11"/>
      <c r="T1774" s="11"/>
      <c r="U1774" s="10" t="str">
        <f>HYPERLINK("https://pbs.twimg.com/profile_images/998625983434391552/zMQe5s7O.jpg","View")</f>
        <v>View</v>
      </c>
    </row>
    <row r="1775" spans="1:21" ht="30.6">
      <c r="A1775" s="6">
        <v>43425.195925925931</v>
      </c>
      <c r="B1775" s="7" t="str">
        <f>HYPERLINK("https://twitter.com/Charran_Esp","@Charran_Esp")</f>
        <v>@Charran_Esp</v>
      </c>
      <c r="C1775" s="8" t="s">
        <v>1544</v>
      </c>
      <c r="D1775" s="9" t="s">
        <v>7307</v>
      </c>
      <c r="E1775" s="10" t="str">
        <f>HYPERLINK("https://twitter.com/Charran_Esp/status/1065223836726173696","1065223836726173696")</f>
        <v>1065223836726173696</v>
      </c>
      <c r="F1775" s="14" t="s">
        <v>7308</v>
      </c>
      <c r="G1775" s="11"/>
      <c r="H1775" s="11"/>
      <c r="I1775" s="12">
        <v>0</v>
      </c>
      <c r="J1775" s="12">
        <v>0</v>
      </c>
      <c r="K1775" s="13" t="str">
        <f>HYPERLINK("https://ifttt.com","IFTTT")</f>
        <v>IFTTT</v>
      </c>
      <c r="L1775" s="12">
        <v>59</v>
      </c>
      <c r="M1775" s="12">
        <v>71</v>
      </c>
      <c r="N1775" s="12">
        <v>0</v>
      </c>
      <c r="O1775" s="15"/>
      <c r="P1775" s="6">
        <v>42915.076712962968</v>
      </c>
      <c r="Q1775" s="16" t="s">
        <v>28</v>
      </c>
      <c r="R1775" s="17" t="s">
        <v>1549</v>
      </c>
      <c r="S1775" s="11"/>
      <c r="T1775" s="11"/>
      <c r="U1775" s="10" t="str">
        <f>HYPERLINK("https://pbs.twimg.com/profile_images/880349188244078592/vsdcBU4x.jpg","View")</f>
        <v>View</v>
      </c>
    </row>
    <row r="1776" spans="1:21" ht="20.399999999999999">
      <c r="A1776" s="6">
        <v>43425.193553240737</v>
      </c>
      <c r="B1776" s="7" t="str">
        <f>HYPERLINK("https://twitter.com/PGuerre","@PGuerre")</f>
        <v>@PGuerre</v>
      </c>
      <c r="C1776" s="8" t="s">
        <v>7309</v>
      </c>
      <c r="D1776" s="9" t="s">
        <v>3000</v>
      </c>
      <c r="E1776" s="10" t="str">
        <f>HYPERLINK("https://twitter.com/PGuerre/status/1065222977330053120","1065222977330053120")</f>
        <v>1065222977330053120</v>
      </c>
      <c r="F1776" s="14" t="s">
        <v>7310</v>
      </c>
      <c r="G1776" s="11"/>
      <c r="H1776" s="11"/>
      <c r="I1776" s="12">
        <v>0</v>
      </c>
      <c r="J1776" s="12">
        <v>0</v>
      </c>
      <c r="K1776" s="13" t="str">
        <f t="shared" ref="K1776:K1777" si="372">HYPERLINK("http://twitter.com","Twitter Web Client")</f>
        <v>Twitter Web Client</v>
      </c>
      <c r="L1776" s="12">
        <v>130</v>
      </c>
      <c r="M1776" s="12">
        <v>370</v>
      </c>
      <c r="N1776" s="12">
        <v>3</v>
      </c>
      <c r="O1776" s="15"/>
      <c r="P1776" s="6">
        <v>40703.259965277779</v>
      </c>
      <c r="Q1776" s="16" t="s">
        <v>7311</v>
      </c>
      <c r="R1776" s="19"/>
      <c r="S1776" s="11"/>
      <c r="T1776" s="11"/>
      <c r="U1776" s="10" t="str">
        <f>HYPERLINK("https://pbs.twimg.com/profile_images/3358656398/c4c26fc7533d4a47077ac03ae55eb4fc.jpeg","View")</f>
        <v>View</v>
      </c>
    </row>
    <row r="1777" spans="1:21" ht="40.799999999999997">
      <c r="A1777" s="6">
        <v>43425.193530092598</v>
      </c>
      <c r="B1777" s="7" t="str">
        <f>HYPERLINK("https://twitter.com/ESdiario_com","@ESdiario_com")</f>
        <v>@ESdiario_com</v>
      </c>
      <c r="C1777" s="8" t="s">
        <v>645</v>
      </c>
      <c r="D1777" s="9" t="s">
        <v>7307</v>
      </c>
      <c r="E1777" s="10" t="str">
        <f>HYPERLINK("https://twitter.com/ESdiario_com/status/1065222970568773635","1065222970568773635")</f>
        <v>1065222970568773635</v>
      </c>
      <c r="F1777" s="14" t="s">
        <v>7308</v>
      </c>
      <c r="G1777" s="11"/>
      <c r="H1777" s="11"/>
      <c r="I1777" s="12">
        <v>10</v>
      </c>
      <c r="J1777" s="12">
        <v>7</v>
      </c>
      <c r="K1777" s="13" t="str">
        <f t="shared" si="372"/>
        <v>Twitter Web Client</v>
      </c>
      <c r="L1777" s="12">
        <v>30818</v>
      </c>
      <c r="M1777" s="12">
        <v>706</v>
      </c>
      <c r="N1777" s="12">
        <v>494</v>
      </c>
      <c r="O1777" s="15"/>
      <c r="P1777" s="6">
        <v>40584.125949074078</v>
      </c>
      <c r="Q1777" s="16" t="s">
        <v>93</v>
      </c>
      <c r="R1777" s="17" t="s">
        <v>648</v>
      </c>
      <c r="S1777" s="14" t="s">
        <v>649</v>
      </c>
      <c r="T1777" s="11"/>
      <c r="U1777" s="10" t="str">
        <f>HYPERLINK("https://pbs.twimg.com/profile_images/708363281308753920/7qh3akOb.jpg","View")</f>
        <v>View</v>
      </c>
    </row>
    <row r="1778" spans="1:21" ht="40.799999999999997">
      <c r="A1778" s="6">
        <v>43425.191921296297</v>
      </c>
      <c r="B1778" s="7" t="str">
        <f>HYPERLINK("https://twitter.com/FundacionCEDAT","@FundacionCEDAT")</f>
        <v>@FundacionCEDAT</v>
      </c>
      <c r="C1778" s="8" t="s">
        <v>7312</v>
      </c>
      <c r="D1778" s="9" t="s">
        <v>7313</v>
      </c>
      <c r="E1778" s="10" t="str">
        <f>HYPERLINK("https://twitter.com/FundacionCEDAT/status/1065222387111784448","1065222387111784448")</f>
        <v>1065222387111784448</v>
      </c>
      <c r="F1778" s="14" t="s">
        <v>7314</v>
      </c>
      <c r="G1778" s="11"/>
      <c r="H1778" s="11"/>
      <c r="I1778" s="12">
        <v>0</v>
      </c>
      <c r="J1778" s="12">
        <v>0</v>
      </c>
      <c r="K1778" s="13" t="str">
        <f>HYPERLINK("https://ifttt.com","IFTTT")</f>
        <v>IFTTT</v>
      </c>
      <c r="L1778" s="12">
        <v>297</v>
      </c>
      <c r="M1778" s="12">
        <v>52</v>
      </c>
      <c r="N1778" s="12">
        <v>19</v>
      </c>
      <c r="O1778" s="15"/>
      <c r="P1778" s="6">
        <v>40861.149375000001</v>
      </c>
      <c r="Q1778" s="16" t="s">
        <v>123</v>
      </c>
      <c r="R1778" s="17" t="s">
        <v>7315</v>
      </c>
      <c r="S1778" s="14" t="s">
        <v>7316</v>
      </c>
      <c r="T1778" s="11"/>
      <c r="U1778" s="10" t="str">
        <f>HYPERLINK("https://pbs.twimg.com/profile_images/1638492214/logo_CEDAT.jpg","View")</f>
        <v>View</v>
      </c>
    </row>
    <row r="1779" spans="1:21" ht="20.399999999999999">
      <c r="A1779" s="6">
        <v>43425.191724537042</v>
      </c>
      <c r="B1779" s="7" t="str">
        <f>HYPERLINK("https://twitter.com/JOGALOGA","@JOGALOGA")</f>
        <v>@JOGALOGA</v>
      </c>
      <c r="C1779" s="8" t="s">
        <v>7317</v>
      </c>
      <c r="D1779" s="9" t="s">
        <v>7189</v>
      </c>
      <c r="E1779" s="10" t="str">
        <f>HYPERLINK("https://twitter.com/JOGALOGA/status/1065222316467073024","1065222316467073024")</f>
        <v>1065222316467073024</v>
      </c>
      <c r="F1779" s="14" t="s">
        <v>4200</v>
      </c>
      <c r="G1779" s="11"/>
      <c r="H1779" s="11"/>
      <c r="I1779" s="12">
        <v>0</v>
      </c>
      <c r="J1779" s="12">
        <v>0</v>
      </c>
      <c r="K1779" s="13" t="str">
        <f>HYPERLINK("http://twitter.com","Twitter Web Client")</f>
        <v>Twitter Web Client</v>
      </c>
      <c r="L1779" s="12">
        <v>191</v>
      </c>
      <c r="M1779" s="12">
        <v>472</v>
      </c>
      <c r="N1779" s="12">
        <v>8</v>
      </c>
      <c r="O1779" s="15"/>
      <c r="P1779" s="6">
        <v>40067.138043981482</v>
      </c>
      <c r="Q1779" s="16" t="s">
        <v>7318</v>
      </c>
      <c r="R1779" s="17" t="s">
        <v>7319</v>
      </c>
      <c r="S1779" s="11"/>
      <c r="T1779" s="11"/>
      <c r="U1779" s="10" t="str">
        <f>HYPERLINK("https://pbs.twimg.com/profile_images/849713524209311745/GFfKuTrh.jpg","View")</f>
        <v>View</v>
      </c>
    </row>
    <row r="1780" spans="1:21" ht="20.399999999999999">
      <c r="A1780" s="6">
        <v>43425.191331018519</v>
      </c>
      <c r="B1780" s="7" t="str">
        <f>HYPERLINK("https://twitter.com/kaosenlarednet","@kaosenlarednet")</f>
        <v>@kaosenlarednet</v>
      </c>
      <c r="C1780" s="8" t="s">
        <v>7320</v>
      </c>
      <c r="D1780" s="9" t="s">
        <v>6941</v>
      </c>
      <c r="E1780" s="10" t="str">
        <f>HYPERLINK("https://twitter.com/kaosenlarednet/status/1065222173600686080","1065222173600686080")</f>
        <v>1065222173600686080</v>
      </c>
      <c r="F1780" s="14" t="s">
        <v>7321</v>
      </c>
      <c r="G1780" s="14" t="s">
        <v>7322</v>
      </c>
      <c r="H1780" s="11"/>
      <c r="I1780" s="12">
        <v>1</v>
      </c>
      <c r="J1780" s="12">
        <v>0</v>
      </c>
      <c r="K1780" s="13" t="str">
        <f>HYPERLINK("https://ifttt.com","IFTTT")</f>
        <v>IFTTT</v>
      </c>
      <c r="L1780" s="12">
        <v>55753</v>
      </c>
      <c r="M1780" s="12">
        <v>348</v>
      </c>
      <c r="N1780" s="12">
        <v>1131</v>
      </c>
      <c r="O1780" s="15"/>
      <c r="P1780" s="6">
        <v>40466.631076388891</v>
      </c>
      <c r="Q1780" s="11"/>
      <c r="R1780" s="17" t="s">
        <v>7323</v>
      </c>
      <c r="S1780" s="14" t="s">
        <v>7324</v>
      </c>
      <c r="T1780" s="11"/>
      <c r="U1780" s="10" t="str">
        <f>HYPERLINK("https://pbs.twimg.com/profile_images/1145598131/148936_KAOSENLAREDRESISTENCIA_xy.jpg","View")</f>
        <v>View</v>
      </c>
    </row>
    <row r="1781" spans="1:21" ht="51">
      <c r="A1781" s="6">
        <v>43425.19049768518</v>
      </c>
      <c r="B1781" s="7" t="str">
        <f>HYPERLINK("https://twitter.com/MartinNeiraGar2","@MartinNeiraGar2")</f>
        <v>@MartinNeiraGar2</v>
      </c>
      <c r="C1781" s="8" t="s">
        <v>7325</v>
      </c>
      <c r="D1781" s="9" t="s">
        <v>7326</v>
      </c>
      <c r="E1781" s="10" t="str">
        <f>HYPERLINK("https://twitter.com/MartinNeiraGar2/status/1065221872353189888","1065221872353189888")</f>
        <v>1065221872353189888</v>
      </c>
      <c r="F1781" s="11"/>
      <c r="G1781" s="14" t="s">
        <v>7327</v>
      </c>
      <c r="H1781" s="11"/>
      <c r="I1781" s="12">
        <v>0</v>
      </c>
      <c r="J1781" s="12">
        <v>0</v>
      </c>
      <c r="K1781" s="13" t="str">
        <f>HYPERLINK("http://twitter.com/download/android","Twitter for Android")</f>
        <v>Twitter for Android</v>
      </c>
      <c r="L1781" s="12">
        <v>2</v>
      </c>
      <c r="M1781" s="12">
        <v>44</v>
      </c>
      <c r="N1781" s="12">
        <v>0</v>
      </c>
      <c r="O1781" s="15"/>
      <c r="P1781" s="6">
        <v>43316.24255787037</v>
      </c>
      <c r="Q1781" s="16" t="s">
        <v>4425</v>
      </c>
      <c r="R1781" s="19"/>
      <c r="S1781" s="11"/>
      <c r="T1781" s="11"/>
      <c r="U1781" s="10" t="str">
        <f>HYPERLINK("https://pbs.twimg.com/profile_images/1026121620279185409/oVfKmjdq.jpg","View")</f>
        <v>View</v>
      </c>
    </row>
    <row r="1782" spans="1:21" ht="20.399999999999999">
      <c r="A1782" s="6">
        <v>43425.189293981486</v>
      </c>
      <c r="B1782" s="7" t="str">
        <f>HYPERLINK("https://twitter.com/intersocial_es","@intersocial_es")</f>
        <v>@intersocial_es</v>
      </c>
      <c r="C1782" s="8" t="s">
        <v>7328</v>
      </c>
      <c r="D1782" s="9" t="s">
        <v>7313</v>
      </c>
      <c r="E1782" s="10" t="str">
        <f>HYPERLINK("https://twitter.com/intersocial_es/status/1065221434333646854","1065221434333646854")</f>
        <v>1065221434333646854</v>
      </c>
      <c r="F1782" s="14" t="s">
        <v>7314</v>
      </c>
      <c r="G1782" s="11"/>
      <c r="H1782" s="11"/>
      <c r="I1782" s="12">
        <v>0</v>
      </c>
      <c r="J1782" s="12">
        <v>0</v>
      </c>
      <c r="K1782" s="13" t="str">
        <f>HYPERLINK("https://ifttt.com","IFTTT")</f>
        <v>IFTTT</v>
      </c>
      <c r="L1782" s="12">
        <v>1228</v>
      </c>
      <c r="M1782" s="12">
        <v>1055</v>
      </c>
      <c r="N1782" s="12">
        <v>60</v>
      </c>
      <c r="O1782" s="15"/>
      <c r="P1782" s="6">
        <v>40858.225266203706</v>
      </c>
      <c r="Q1782" s="16" t="s">
        <v>28</v>
      </c>
      <c r="R1782" s="17" t="s">
        <v>7329</v>
      </c>
      <c r="S1782" s="14" t="s">
        <v>7330</v>
      </c>
      <c r="T1782" s="11"/>
      <c r="U1782" s="10" t="str">
        <f>HYPERLINK("https://pbs.twimg.com/profile_images/1633544120/Logo_Intersocial_IS.JPG","View")</f>
        <v>View</v>
      </c>
    </row>
    <row r="1783" spans="1:21" ht="20.399999999999999">
      <c r="A1783" s="6">
        <v>43425.188796296294</v>
      </c>
      <c r="B1783" s="7" t="str">
        <f>HYPERLINK("https://twitter.com/kaosenlarednet","@kaosenlarednet")</f>
        <v>@kaosenlarednet</v>
      </c>
      <c r="C1783" s="8" t="s">
        <v>7320</v>
      </c>
      <c r="D1783" s="9" t="s">
        <v>6941</v>
      </c>
      <c r="E1783" s="10" t="str">
        <f>HYPERLINK("https://twitter.com/kaosenlarednet/status/1065221253320065024","1065221253320065024")</f>
        <v>1065221253320065024</v>
      </c>
      <c r="F1783" s="14" t="s">
        <v>3889</v>
      </c>
      <c r="G1783" s="11"/>
      <c r="H1783" s="11"/>
      <c r="I1783" s="12">
        <v>5</v>
      </c>
      <c r="J1783" s="12">
        <v>1</v>
      </c>
      <c r="K1783" s="13" t="str">
        <f>HYPERLINK("http://www.facebook.com/twitter","Facebook")</f>
        <v>Facebook</v>
      </c>
      <c r="L1783" s="12">
        <v>55753</v>
      </c>
      <c r="M1783" s="12">
        <v>348</v>
      </c>
      <c r="N1783" s="12">
        <v>1131</v>
      </c>
      <c r="O1783" s="15"/>
      <c r="P1783" s="6">
        <v>40466.631076388891</v>
      </c>
      <c r="Q1783" s="11"/>
      <c r="R1783" s="17" t="s">
        <v>7323</v>
      </c>
      <c r="S1783" s="14" t="s">
        <v>7324</v>
      </c>
      <c r="T1783" s="11"/>
      <c r="U1783" s="10" t="str">
        <f>HYPERLINK("https://pbs.twimg.com/profile_images/1145598131/148936_KAOSENLAREDRESISTENCIA_xy.jpg","View")</f>
        <v>View</v>
      </c>
    </row>
    <row r="1784" spans="1:21" ht="20.399999999999999">
      <c r="A1784" s="6">
        <v>43425.18849537037</v>
      </c>
      <c r="B1784" s="7" t="str">
        <f>HYPERLINK("https://twitter.com/ChanChave","@ChanChave")</f>
        <v>@ChanChave</v>
      </c>
      <c r="C1784" s="8" t="s">
        <v>7331</v>
      </c>
      <c r="D1784" s="9" t="s">
        <v>7189</v>
      </c>
      <c r="E1784" s="10" t="str">
        <f>HYPERLINK("https://twitter.com/ChanChave/status/1065221145425821696","1065221145425821696")</f>
        <v>1065221145425821696</v>
      </c>
      <c r="F1784" s="14" t="s">
        <v>4200</v>
      </c>
      <c r="G1784" s="11"/>
      <c r="H1784" s="11"/>
      <c r="I1784" s="12">
        <v>0</v>
      </c>
      <c r="J1784" s="12">
        <v>0</v>
      </c>
      <c r="K1784" s="13" t="str">
        <f t="shared" ref="K1784:K1786" si="373">HYPERLINK("http://twitter.com/download/android","Twitter for Android")</f>
        <v>Twitter for Android</v>
      </c>
      <c r="L1784" s="12">
        <v>1533</v>
      </c>
      <c r="M1784" s="12">
        <v>1763</v>
      </c>
      <c r="N1784" s="12">
        <v>29</v>
      </c>
      <c r="O1784" s="15"/>
      <c r="P1784" s="6">
        <v>41330.395277777774</v>
      </c>
      <c r="Q1784" s="16" t="s">
        <v>87</v>
      </c>
      <c r="R1784" s="17" t="s">
        <v>7332</v>
      </c>
      <c r="S1784" s="11"/>
      <c r="T1784" s="11"/>
      <c r="U1784" s="10" t="str">
        <f>HYPERLINK("https://pbs.twimg.com/profile_images/799293272120295424/ANV4MoWm.jpg","View")</f>
        <v>View</v>
      </c>
    </row>
    <row r="1785" spans="1:21" ht="20.399999999999999">
      <c r="A1785" s="6">
        <v>43425.187268518523</v>
      </c>
      <c r="B1785" s="7" t="str">
        <f>HYPERLINK("https://twitter.com/QGuaita","@QGuaita")</f>
        <v>@QGuaita</v>
      </c>
      <c r="C1785" s="8" t="s">
        <v>4143</v>
      </c>
      <c r="D1785" s="9" t="s">
        <v>4144</v>
      </c>
      <c r="E1785" s="10" t="str">
        <f>HYPERLINK("https://twitter.com/QGuaita/status/1065220702238900225","1065220702238900225")</f>
        <v>1065220702238900225</v>
      </c>
      <c r="F1785" s="11"/>
      <c r="G1785" s="14" t="s">
        <v>4145</v>
      </c>
      <c r="H1785" s="11"/>
      <c r="I1785" s="12">
        <v>0</v>
      </c>
      <c r="J1785" s="12">
        <v>0</v>
      </c>
      <c r="K1785" s="13" t="str">
        <f t="shared" si="373"/>
        <v>Twitter for Android</v>
      </c>
      <c r="L1785" s="12">
        <v>20</v>
      </c>
      <c r="M1785" s="12">
        <v>96</v>
      </c>
      <c r="N1785" s="12">
        <v>0</v>
      </c>
      <c r="O1785" s="15"/>
      <c r="P1785" s="6">
        <v>42540.225752314815</v>
      </c>
      <c r="Q1785" s="16" t="s">
        <v>4147</v>
      </c>
      <c r="R1785" s="19"/>
      <c r="S1785" s="11"/>
      <c r="T1785" s="11"/>
      <c r="U1785" s="10" t="str">
        <f>HYPERLINK("https://pbs.twimg.com/profile_images/744507911288696832/519LjjJ0.jpg","View")</f>
        <v>View</v>
      </c>
    </row>
    <row r="1786" spans="1:21" ht="30.6">
      <c r="A1786" s="6">
        <v>43425.18686342593</v>
      </c>
      <c r="B1786" s="7" t="str">
        <f>HYPERLINK("https://twitter.com/Javi_Garras","@Javi_Garras")</f>
        <v>@Javi_Garras</v>
      </c>
      <c r="C1786" s="8" t="s">
        <v>7333</v>
      </c>
      <c r="D1786" s="9" t="s">
        <v>7334</v>
      </c>
      <c r="E1786" s="10" t="str">
        <f>HYPERLINK("https://twitter.com/Javi_Garras/status/1065220554561589248","1065220554561589248")</f>
        <v>1065220554561589248</v>
      </c>
      <c r="F1786" s="16" t="s">
        <v>7335</v>
      </c>
      <c r="G1786" s="14" t="s">
        <v>7336</v>
      </c>
      <c r="H1786" s="11"/>
      <c r="I1786" s="12">
        <v>0</v>
      </c>
      <c r="J1786" s="12">
        <v>2</v>
      </c>
      <c r="K1786" s="13" t="str">
        <f t="shared" si="373"/>
        <v>Twitter for Android</v>
      </c>
      <c r="L1786" s="12">
        <v>664</v>
      </c>
      <c r="M1786" s="12">
        <v>551</v>
      </c>
      <c r="N1786" s="12">
        <v>22</v>
      </c>
      <c r="O1786" s="15"/>
      <c r="P1786" s="6">
        <v>40242.269201388888</v>
      </c>
      <c r="Q1786" s="16" t="s">
        <v>132</v>
      </c>
      <c r="R1786" s="17" t="s">
        <v>7337</v>
      </c>
      <c r="S1786" s="14" t="s">
        <v>7338</v>
      </c>
      <c r="T1786" s="11"/>
      <c r="U1786" s="10" t="str">
        <f>HYPERLINK("https://pbs.twimg.com/profile_images/1037445076732002304/RnXhNhaE.jpg","View")</f>
        <v>View</v>
      </c>
    </row>
    <row r="1787" spans="1:21" ht="51">
      <c r="A1787" s="6">
        <v>43425.186597222222</v>
      </c>
      <c r="B1787" s="7" t="str">
        <f>HYPERLINK("https://twitter.com/javierjuantur","@javierjuantur")</f>
        <v>@javierjuantur</v>
      </c>
      <c r="C1787" s="8" t="s">
        <v>1521</v>
      </c>
      <c r="D1787" s="9" t="s">
        <v>4148</v>
      </c>
      <c r="E1787" s="10" t="str">
        <f>HYPERLINK("https://twitter.com/javierjuantur/status/1065220457186635777","1065220457186635777")</f>
        <v>1065220457186635777</v>
      </c>
      <c r="F1787" s="11"/>
      <c r="G1787" s="14" t="s">
        <v>4149</v>
      </c>
      <c r="H1787" s="11"/>
      <c r="I1787" s="12">
        <v>85</v>
      </c>
      <c r="J1787" s="12">
        <v>60</v>
      </c>
      <c r="K1787" s="13" t="str">
        <f>HYPERLINK("http://twitter.com","Twitter Web Client")</f>
        <v>Twitter Web Client</v>
      </c>
      <c r="L1787" s="12">
        <v>61258</v>
      </c>
      <c r="M1787" s="12">
        <v>64137</v>
      </c>
      <c r="N1787" s="12">
        <v>309</v>
      </c>
      <c r="O1787" s="15"/>
      <c r="P1787" s="6">
        <v>41420.299872685187</v>
      </c>
      <c r="Q1787" s="16" t="s">
        <v>268</v>
      </c>
      <c r="R1787" s="17" t="s">
        <v>1527</v>
      </c>
      <c r="S1787" s="11"/>
      <c r="T1787" s="11"/>
      <c r="U1787" s="10" t="str">
        <f>HYPERLINK("https://pbs.twimg.com/profile_images/900746297732366337/YZCIw7G_.jpg","View")</f>
        <v>View</v>
      </c>
    </row>
    <row r="1788" spans="1:21" ht="20.399999999999999">
      <c r="A1788" s="6">
        <v>43425.183981481481</v>
      </c>
      <c r="B1788" s="7" t="str">
        <f>HYPERLINK("https://twitter.com/chuskio","@chuskio")</f>
        <v>@chuskio</v>
      </c>
      <c r="C1788" s="8" t="s">
        <v>7339</v>
      </c>
      <c r="D1788" s="9" t="s">
        <v>7189</v>
      </c>
      <c r="E1788" s="10" t="str">
        <f>HYPERLINK("https://twitter.com/chuskio/status/1065219509299146752","1065219509299146752")</f>
        <v>1065219509299146752</v>
      </c>
      <c r="F1788" s="14" t="s">
        <v>4200</v>
      </c>
      <c r="G1788" s="11"/>
      <c r="H1788" s="11"/>
      <c r="I1788" s="12">
        <v>0</v>
      </c>
      <c r="J1788" s="12">
        <v>0</v>
      </c>
      <c r="K1788" s="13" t="str">
        <f>HYPERLINK("http://twitter.com/download/android","Twitter for Android")</f>
        <v>Twitter for Android</v>
      </c>
      <c r="L1788" s="12">
        <v>4163</v>
      </c>
      <c r="M1788" s="12">
        <v>4921</v>
      </c>
      <c r="N1788" s="12">
        <v>20</v>
      </c>
      <c r="O1788" s="15"/>
      <c r="P1788" s="6">
        <v>41915.381886574076</v>
      </c>
      <c r="Q1788" s="11"/>
      <c r="R1788" s="17" t="s">
        <v>7340</v>
      </c>
      <c r="S1788" s="11"/>
      <c r="T1788" s="11"/>
      <c r="U1788" s="10" t="str">
        <f>HYPERLINK("https://pbs.twimg.com/profile_images/614772227171598336/6iynpJAR.jpg","View")</f>
        <v>View</v>
      </c>
    </row>
    <row r="1789" spans="1:21" ht="91.8">
      <c r="A1789" s="6">
        <v>43425.179375</v>
      </c>
      <c r="B1789" s="7" t="str">
        <f>HYPERLINK("https://twitter.com/Tururunes","@Tururunes")</f>
        <v>@Tururunes</v>
      </c>
      <c r="C1789" s="8" t="s">
        <v>7341</v>
      </c>
      <c r="D1789" s="9" t="s">
        <v>7342</v>
      </c>
      <c r="E1789" s="10" t="str">
        <f>HYPERLINK("https://twitter.com/Tururunes/status/1065217839995514881","1065217839995514881")</f>
        <v>1065217839995514881</v>
      </c>
      <c r="F1789" s="14" t="s">
        <v>7343</v>
      </c>
      <c r="G1789" s="11"/>
      <c r="H1789" s="11"/>
      <c r="I1789" s="12">
        <v>4</v>
      </c>
      <c r="J1789" s="12">
        <v>2</v>
      </c>
      <c r="K1789" s="13" t="str">
        <f t="shared" ref="K1789:K1790" si="374">HYPERLINK("http://twitter.com","Twitter Web Client")</f>
        <v>Twitter Web Client</v>
      </c>
      <c r="L1789" s="12">
        <v>12707</v>
      </c>
      <c r="M1789" s="12">
        <v>715</v>
      </c>
      <c r="N1789" s="12">
        <v>31</v>
      </c>
      <c r="O1789" s="15"/>
      <c r="P1789" s="6">
        <v>42045.466354166667</v>
      </c>
      <c r="Q1789" s="16" t="s">
        <v>486</v>
      </c>
      <c r="R1789" s="17" t="s">
        <v>7344</v>
      </c>
      <c r="S1789" s="14" t="s">
        <v>7345</v>
      </c>
      <c r="T1789" s="11"/>
      <c r="U1789" s="10" t="str">
        <f>HYPERLINK("https://pbs.twimg.com/profile_images/1025524163841327110/IhW7vDcb.jpg","View")</f>
        <v>View</v>
      </c>
    </row>
    <row r="1790" spans="1:21" ht="40.799999999999997">
      <c r="A1790" s="6">
        <v>43425.179351851853</v>
      </c>
      <c r="B1790" s="7" t="str">
        <f>HYPERLINK("https://twitter.com/prnoticias","@prnoticias")</f>
        <v>@prnoticias</v>
      </c>
      <c r="C1790" s="8" t="s">
        <v>7346</v>
      </c>
      <c r="D1790" s="9" t="s">
        <v>7347</v>
      </c>
      <c r="E1790" s="10" t="str">
        <f>HYPERLINK("https://twitter.com/prnoticias/status/1065217831304859648","1065217831304859648")</f>
        <v>1065217831304859648</v>
      </c>
      <c r="F1790" s="14" t="s">
        <v>7348</v>
      </c>
      <c r="G1790" s="14" t="s">
        <v>7349</v>
      </c>
      <c r="H1790" s="11"/>
      <c r="I1790" s="12">
        <v>0</v>
      </c>
      <c r="J1790" s="12">
        <v>0</v>
      </c>
      <c r="K1790" s="13" t="str">
        <f t="shared" si="374"/>
        <v>Twitter Web Client</v>
      </c>
      <c r="L1790" s="12">
        <v>77941</v>
      </c>
      <c r="M1790" s="12">
        <v>1713</v>
      </c>
      <c r="N1790" s="12">
        <v>4011</v>
      </c>
      <c r="O1790" s="18" t="s">
        <v>52</v>
      </c>
      <c r="P1790" s="6">
        <v>39903.199907407405</v>
      </c>
      <c r="Q1790" s="16" t="s">
        <v>93</v>
      </c>
      <c r="R1790" s="17" t="s">
        <v>7350</v>
      </c>
      <c r="S1790" s="14" t="s">
        <v>7351</v>
      </c>
      <c r="T1790" s="11"/>
      <c r="U1790" s="10" t="str">
        <f>HYPERLINK("https://pbs.twimg.com/profile_images/881787674121646083/28sl70F7.jpg","View")</f>
        <v>View</v>
      </c>
    </row>
    <row r="1791" spans="1:21" ht="40.799999999999997">
      <c r="A1791" s="6">
        <v>43425.178842592592</v>
      </c>
      <c r="B1791" s="7" t="str">
        <f>HYPERLINK("https://twitter.com/TercioHispanico","@TercioHispanico")</f>
        <v>@TercioHispanico</v>
      </c>
      <c r="C1791" s="8" t="s">
        <v>3885</v>
      </c>
      <c r="D1791" s="9" t="s">
        <v>7352</v>
      </c>
      <c r="E1791" s="10" t="str">
        <f>HYPERLINK("https://twitter.com/TercioHispanico/status/1065217648806559745","1065217648806559745")</f>
        <v>1065217648806559745</v>
      </c>
      <c r="F1791" s="14" t="s">
        <v>7353</v>
      </c>
      <c r="G1791" s="11"/>
      <c r="H1791" s="11"/>
      <c r="I1791" s="12">
        <v>0</v>
      </c>
      <c r="J1791" s="12">
        <v>0</v>
      </c>
      <c r="K1791" s="13" t="str">
        <f>HYPERLINK("https://diariorc.com","Tercio Hispánico App C")</f>
        <v>Tercio Hispánico App C</v>
      </c>
      <c r="L1791" s="12">
        <v>1463</v>
      </c>
      <c r="M1791" s="12">
        <v>1448</v>
      </c>
      <c r="N1791" s="12">
        <v>3</v>
      </c>
      <c r="O1791" s="15"/>
      <c r="P1791" s="6">
        <v>43074.442384259259</v>
      </c>
      <c r="Q1791" s="16" t="s">
        <v>28</v>
      </c>
      <c r="R1791" s="17" t="s">
        <v>3888</v>
      </c>
      <c r="S1791" s="11"/>
      <c r="T1791" s="11"/>
      <c r="U1791" s="10" t="str">
        <f>HYPERLINK("https://pbs.twimg.com/profile_images/938810411045941249/GJ1yq9OJ.jpg","View")</f>
        <v>View</v>
      </c>
    </row>
    <row r="1792" spans="1:21" ht="102">
      <c r="A1792" s="6">
        <v>43425.176550925928</v>
      </c>
      <c r="B1792" s="7" t="str">
        <f>HYPERLINK("https://twitter.com/paulomariante","@paulomariante")</f>
        <v>@paulomariante</v>
      </c>
      <c r="C1792" s="8" t="s">
        <v>4150</v>
      </c>
      <c r="D1792" s="9" t="s">
        <v>4153</v>
      </c>
      <c r="E1792" s="10" t="str">
        <f>HYPERLINK("https://twitter.com/paulomariante/status/1065216815926833153","1065216815926833153")</f>
        <v>1065216815926833153</v>
      </c>
      <c r="F1792" s="14" t="s">
        <v>3662</v>
      </c>
      <c r="G1792" s="11"/>
      <c r="H1792" s="11"/>
      <c r="I1792" s="12">
        <v>0</v>
      </c>
      <c r="J1792" s="12">
        <v>1</v>
      </c>
      <c r="K1792" s="13" t="str">
        <f>HYPERLINK("http://twitter.com/download/android","Twitter for Android")</f>
        <v>Twitter for Android</v>
      </c>
      <c r="L1792" s="12">
        <v>1505</v>
      </c>
      <c r="M1792" s="12">
        <v>1364</v>
      </c>
      <c r="N1792" s="12">
        <v>11</v>
      </c>
      <c r="O1792" s="15"/>
      <c r="P1792" s="6">
        <v>39963.405358796299</v>
      </c>
      <c r="Q1792" s="16" t="s">
        <v>4157</v>
      </c>
      <c r="R1792" s="17" t="s">
        <v>4159</v>
      </c>
      <c r="S1792" s="14" t="s">
        <v>4160</v>
      </c>
      <c r="T1792" s="11"/>
      <c r="U1792" s="10" t="str">
        <f>HYPERLINK("https://pbs.twimg.com/profile_images/1057014962126766080/5BpS-eMy.jpg","View")</f>
        <v>View</v>
      </c>
    </row>
    <row r="1793" spans="1:21" ht="40.799999999999997">
      <c r="A1793" s="6">
        <v>43425.175844907411</v>
      </c>
      <c r="B1793" s="7" t="str">
        <f>HYPERLINK("https://twitter.com/IsmaSesma","@IsmaSesma")</f>
        <v>@IsmaSesma</v>
      </c>
      <c r="C1793" s="8" t="s">
        <v>7354</v>
      </c>
      <c r="D1793" s="9" t="s">
        <v>7355</v>
      </c>
      <c r="E1793" s="10" t="str">
        <f>HYPERLINK("https://twitter.com/IsmaSesma/status/1065216559432507392","1065216559432507392")</f>
        <v>1065216559432507392</v>
      </c>
      <c r="F1793" s="11"/>
      <c r="G1793" s="11"/>
      <c r="H1793" s="11"/>
      <c r="I1793" s="12">
        <v>0</v>
      </c>
      <c r="J1793" s="12">
        <v>0</v>
      </c>
      <c r="K1793" s="13" t="str">
        <f>HYPERLINK("http://twitter.com/download/iphone","Twitter for iPhone")</f>
        <v>Twitter for iPhone</v>
      </c>
      <c r="L1793" s="12">
        <v>120</v>
      </c>
      <c r="M1793" s="12">
        <v>382</v>
      </c>
      <c r="N1793" s="12">
        <v>1</v>
      </c>
      <c r="O1793" s="15"/>
      <c r="P1793" s="6">
        <v>43284.736724537041</v>
      </c>
      <c r="Q1793" s="16" t="s">
        <v>7356</v>
      </c>
      <c r="R1793" s="17" t="s">
        <v>7357</v>
      </c>
      <c r="S1793" s="11"/>
      <c r="T1793" s="11"/>
      <c r="U1793" s="10" t="str">
        <f>HYPERLINK("https://pbs.twimg.com/profile_images/1062422747526115331/PC2QVkWE.jpg","View")</f>
        <v>View</v>
      </c>
    </row>
    <row r="1794" spans="1:21" ht="51">
      <c r="A1794" s="6">
        <v>43425.174004629633</v>
      </c>
      <c r="B1794" s="7" t="str">
        <f>HYPERLINK("https://twitter.com/Obi_Uan_Kenobi","@Obi_Uan_Kenobi")</f>
        <v>@Obi_Uan_Kenobi</v>
      </c>
      <c r="C1794" s="8" t="s">
        <v>1250</v>
      </c>
      <c r="D1794" s="9" t="s">
        <v>4162</v>
      </c>
      <c r="E1794" s="10" t="str">
        <f>HYPERLINK("https://twitter.com/Obi_Uan_Kenobi/status/1065215893276409856","1065215893276409856")</f>
        <v>1065215893276409856</v>
      </c>
      <c r="F1794" s="14" t="s">
        <v>4079</v>
      </c>
      <c r="G1794" s="11"/>
      <c r="H1794" s="11"/>
      <c r="I1794" s="12">
        <v>3</v>
      </c>
      <c r="J1794" s="12">
        <v>0</v>
      </c>
      <c r="K1794" s="13" t="str">
        <f t="shared" ref="K1794:K1795" si="375">HYPERLINK("http://twitter.com","Twitter Web Client")</f>
        <v>Twitter Web Client</v>
      </c>
      <c r="L1794" s="12">
        <v>6439</v>
      </c>
      <c r="M1794" s="12">
        <v>250</v>
      </c>
      <c r="N1794" s="12">
        <v>130</v>
      </c>
      <c r="O1794" s="15"/>
      <c r="P1794" s="6">
        <v>40635.403738425928</v>
      </c>
      <c r="Q1794" s="16" t="s">
        <v>1255</v>
      </c>
      <c r="R1794" s="17" t="s">
        <v>1256</v>
      </c>
      <c r="S1794" s="11"/>
      <c r="T1794" s="11"/>
      <c r="U1794" s="10" t="str">
        <f>HYPERLINK("https://pbs.twimg.com/profile_images/1708357639/obiwankenobi1.jpg","View")</f>
        <v>View</v>
      </c>
    </row>
    <row r="1795" spans="1:21" ht="30.6">
      <c r="A1795" s="6">
        <v>43425.172314814816</v>
      </c>
      <c r="B1795" s="7" t="str">
        <f>HYPERLINK("https://twitter.com/gattaca3421","@gattaca3421")</f>
        <v>@gattaca3421</v>
      </c>
      <c r="C1795" s="8" t="s">
        <v>5679</v>
      </c>
      <c r="D1795" s="9" t="s">
        <v>7358</v>
      </c>
      <c r="E1795" s="10" t="str">
        <f>HYPERLINK("https://twitter.com/gattaca3421/status/1065215280627032064","1065215280627032064")</f>
        <v>1065215280627032064</v>
      </c>
      <c r="F1795" s="14" t="s">
        <v>4200</v>
      </c>
      <c r="G1795" s="11"/>
      <c r="H1795" s="11"/>
      <c r="I1795" s="12">
        <v>0</v>
      </c>
      <c r="J1795" s="12">
        <v>0</v>
      </c>
      <c r="K1795" s="13" t="str">
        <f t="shared" si="375"/>
        <v>Twitter Web Client</v>
      </c>
      <c r="L1795" s="12">
        <v>3184</v>
      </c>
      <c r="M1795" s="12">
        <v>3382</v>
      </c>
      <c r="N1795" s="12">
        <v>10</v>
      </c>
      <c r="O1795" s="15"/>
      <c r="P1795" s="6">
        <v>42431.077407407407</v>
      </c>
      <c r="Q1795" s="16" t="s">
        <v>87</v>
      </c>
      <c r="R1795" s="17" t="s">
        <v>5680</v>
      </c>
      <c r="S1795" s="11"/>
      <c r="T1795" s="11"/>
      <c r="U1795" s="10" t="str">
        <f>HYPERLINK("https://pbs.twimg.com/profile_images/735132917777719297/Puy3lw5p.jpg","View")</f>
        <v>View</v>
      </c>
    </row>
    <row r="1796" spans="1:21" ht="40.799999999999997">
      <c r="A1796" s="6">
        <v>43425.172094907408</v>
      </c>
      <c r="B1796" s="7" t="str">
        <f>HYPERLINK("https://twitter.com/Taboodelaney","@Taboodelaney")</f>
        <v>@Taboodelaney</v>
      </c>
      <c r="C1796" s="8" t="s">
        <v>7359</v>
      </c>
      <c r="D1796" s="9" t="s">
        <v>7189</v>
      </c>
      <c r="E1796" s="10" t="str">
        <f>HYPERLINK("https://twitter.com/Taboodelaney/status/1065215202784878592","1065215202784878592")</f>
        <v>1065215202784878592</v>
      </c>
      <c r="F1796" s="14" t="s">
        <v>4200</v>
      </c>
      <c r="G1796" s="11"/>
      <c r="H1796" s="11"/>
      <c r="I1796" s="12">
        <v>0</v>
      </c>
      <c r="J1796" s="12">
        <v>3</v>
      </c>
      <c r="K1796" s="13" t="str">
        <f t="shared" ref="K1796:K1797" si="376">HYPERLINK("http://twitter.com/download/android","Twitter for Android")</f>
        <v>Twitter for Android</v>
      </c>
      <c r="L1796" s="12">
        <v>1088</v>
      </c>
      <c r="M1796" s="12">
        <v>969</v>
      </c>
      <c r="N1796" s="12">
        <v>2</v>
      </c>
      <c r="O1796" s="15"/>
      <c r="P1796" s="6">
        <v>43252.359421296293</v>
      </c>
      <c r="Q1796" s="11"/>
      <c r="R1796" s="17" t="s">
        <v>7360</v>
      </c>
      <c r="S1796" s="11"/>
      <c r="T1796" s="11"/>
      <c r="U1796" s="10" t="str">
        <f>HYPERLINK("https://pbs.twimg.com/profile_images/1054075081960382466/6n7kVrx9.jpg","View")</f>
        <v>View</v>
      </c>
    </row>
    <row r="1797" spans="1:21" ht="51">
      <c r="A1797" s="6">
        <v>43425.169062500005</v>
      </c>
      <c r="B1797" s="7" t="str">
        <f>HYPERLINK("https://twitter.com/Jorcaina01Jose","@Jorcaina01Jose")</f>
        <v>@Jorcaina01Jose</v>
      </c>
      <c r="C1797" s="8" t="s">
        <v>4169</v>
      </c>
      <c r="D1797" s="9" t="s">
        <v>4170</v>
      </c>
      <c r="E1797" s="10" t="str">
        <f>HYPERLINK("https://twitter.com/Jorcaina01Jose/status/1065214101725609985","1065214101725609985")</f>
        <v>1065214101725609985</v>
      </c>
      <c r="F1797" s="11"/>
      <c r="G1797" s="11"/>
      <c r="H1797" s="11"/>
      <c r="I1797" s="12">
        <v>0</v>
      </c>
      <c r="J1797" s="12">
        <v>0</v>
      </c>
      <c r="K1797" s="13" t="str">
        <f t="shared" si="376"/>
        <v>Twitter for Android</v>
      </c>
      <c r="L1797" s="12">
        <v>33</v>
      </c>
      <c r="M1797" s="12">
        <v>256</v>
      </c>
      <c r="N1797" s="12">
        <v>0</v>
      </c>
      <c r="O1797" s="15"/>
      <c r="P1797" s="6">
        <v>41044.623726851853</v>
      </c>
      <c r="Q1797" s="16" t="s">
        <v>4173</v>
      </c>
      <c r="R1797" s="17" t="s">
        <v>4174</v>
      </c>
      <c r="S1797" s="11"/>
      <c r="T1797" s="11"/>
      <c r="U1797" s="10" t="str">
        <f>HYPERLINK("https://pbs.twimg.com/profile_images/873419941818621952/dFCZ_5XL.jpg","View")</f>
        <v>View</v>
      </c>
    </row>
    <row r="1798" spans="1:21" ht="51">
      <c r="A1798" s="6">
        <v>43425.16805555555</v>
      </c>
      <c r="B1798" s="7" t="str">
        <f>HYPERLINK("https://twitter.com/bitMomentum","@bitMomentum")</f>
        <v>@bitMomentum</v>
      </c>
      <c r="C1798" s="8" t="s">
        <v>1033</v>
      </c>
      <c r="D1798" s="9" t="s">
        <v>4175</v>
      </c>
      <c r="E1798" s="10" t="str">
        <f>HYPERLINK("https://twitter.com/bitMomentum/status/1065213736695287809","1065213736695287809")</f>
        <v>1065213736695287809</v>
      </c>
      <c r="F1798" s="11"/>
      <c r="G1798" s="11"/>
      <c r="H1798" s="11"/>
      <c r="I1798" s="12">
        <v>0</v>
      </c>
      <c r="J1798" s="12">
        <v>0</v>
      </c>
      <c r="K1798" s="13" t="str">
        <f>HYPERLINK("http://www.bitmomentum.com","bitMomentum Bot")</f>
        <v>bitMomentum Bot</v>
      </c>
      <c r="L1798" s="12">
        <v>10132</v>
      </c>
      <c r="M1798" s="12">
        <v>1060</v>
      </c>
      <c r="N1798" s="12">
        <v>267</v>
      </c>
      <c r="O1798" s="15"/>
      <c r="P1798" s="6">
        <v>41608.292511574073</v>
      </c>
      <c r="Q1798" s="11"/>
      <c r="R1798" s="17" t="s">
        <v>1038</v>
      </c>
      <c r="S1798" s="14" t="s">
        <v>1039</v>
      </c>
      <c r="T1798" s="11"/>
      <c r="U1798" s="10" t="str">
        <f>HYPERLINK("https://pbs.twimg.com/profile_images/378800000862185241/20ij2H3u.png","View")</f>
        <v>View</v>
      </c>
    </row>
    <row r="1799" spans="1:21" ht="13.2">
      <c r="A1799" s="6">
        <v>43425.167997685188</v>
      </c>
      <c r="B1799" s="7" t="str">
        <f>HYPERLINK("https://twitter.com/freetourmadrid","@freetourmadrid")</f>
        <v>@freetourmadrid</v>
      </c>
      <c r="C1799" s="8" t="s">
        <v>7361</v>
      </c>
      <c r="D1799" s="9" t="s">
        <v>6996</v>
      </c>
      <c r="E1799" s="10" t="str">
        <f>HYPERLINK("https://twitter.com/freetourmadrid/status/1065213715073634305","1065213715073634305")</f>
        <v>1065213715073634305</v>
      </c>
      <c r="F1799" s="14" t="s">
        <v>7362</v>
      </c>
      <c r="G1799" s="11"/>
      <c r="H1799" s="11"/>
      <c r="I1799" s="12">
        <v>0</v>
      </c>
      <c r="J1799" s="12">
        <v>0</v>
      </c>
      <c r="K1799" s="13" t="str">
        <f>HYPERLINK("http://www.facebook.com/twitter","Facebook")</f>
        <v>Facebook</v>
      </c>
      <c r="L1799" s="12">
        <v>384</v>
      </c>
      <c r="M1799" s="12">
        <v>510</v>
      </c>
      <c r="N1799" s="12">
        <v>38</v>
      </c>
      <c r="O1799" s="15"/>
      <c r="P1799" s="6">
        <v>41618.058113425926</v>
      </c>
      <c r="Q1799" s="16" t="s">
        <v>87</v>
      </c>
      <c r="R1799" s="17" t="s">
        <v>7363</v>
      </c>
      <c r="S1799" s="14" t="s">
        <v>7364</v>
      </c>
      <c r="T1799" s="11"/>
      <c r="U1799" s="10" t="str">
        <f>HYPERLINK("https://pbs.twimg.com/profile_images/834642385225314304/talNc51x.jpg","View")</f>
        <v>View</v>
      </c>
    </row>
    <row r="1800" spans="1:21" ht="51">
      <c r="A1800" s="6">
        <v>43425.167361111111</v>
      </c>
      <c r="B1800" s="7" t="str">
        <f>HYPERLINK("https://twitter.com/bitMomentum","@bitMomentum")</f>
        <v>@bitMomentum</v>
      </c>
      <c r="C1800" s="8" t="s">
        <v>1033</v>
      </c>
      <c r="D1800" s="9" t="s">
        <v>4179</v>
      </c>
      <c r="E1800" s="10" t="str">
        <f>HYPERLINK("https://twitter.com/bitMomentum/status/1065213484995158018","1065213484995158018")</f>
        <v>1065213484995158018</v>
      </c>
      <c r="F1800" s="11"/>
      <c r="G1800" s="11"/>
      <c r="H1800" s="11"/>
      <c r="I1800" s="12">
        <v>1</v>
      </c>
      <c r="J1800" s="12">
        <v>3</v>
      </c>
      <c r="K1800" s="13" t="str">
        <f>HYPERLINK("http://www.bitmomentum.com","bitMomentum Bot")</f>
        <v>bitMomentum Bot</v>
      </c>
      <c r="L1800" s="12">
        <v>10132</v>
      </c>
      <c r="M1800" s="12">
        <v>1060</v>
      </c>
      <c r="N1800" s="12">
        <v>267</v>
      </c>
      <c r="O1800" s="15"/>
      <c r="P1800" s="6">
        <v>41608.292511574073</v>
      </c>
      <c r="Q1800" s="11"/>
      <c r="R1800" s="17" t="s">
        <v>1038</v>
      </c>
      <c r="S1800" s="14" t="s">
        <v>1039</v>
      </c>
      <c r="T1800" s="11"/>
      <c r="U1800" s="10" t="str">
        <f>HYPERLINK("https://pbs.twimg.com/profile_images/378800000862185241/20ij2H3u.png","View")</f>
        <v>View</v>
      </c>
    </row>
    <row r="1801" spans="1:21" ht="40.799999999999997">
      <c r="A1801" s="6">
        <v>43425.165937500002</v>
      </c>
      <c r="B1801" s="7" t="str">
        <f>HYPERLINK("https://twitter.com/amartinquijano","@amartinquijano")</f>
        <v>@amartinquijano</v>
      </c>
      <c r="C1801" s="8" t="s">
        <v>4182</v>
      </c>
      <c r="D1801" s="9" t="s">
        <v>4183</v>
      </c>
      <c r="E1801" s="10" t="str">
        <f>HYPERLINK("https://twitter.com/amartinquijano/status/1065212972082057217","1065212972082057217")</f>
        <v>1065212972082057217</v>
      </c>
      <c r="F1801" s="16" t="s">
        <v>4184</v>
      </c>
      <c r="G1801" s="14" t="s">
        <v>4185</v>
      </c>
      <c r="H1801" s="11"/>
      <c r="I1801" s="12">
        <v>2</v>
      </c>
      <c r="J1801" s="12">
        <v>2</v>
      </c>
      <c r="K1801" s="13" t="str">
        <f>HYPERLINK("http://twitter.com/download/iphone","Twitter for iPhone")</f>
        <v>Twitter for iPhone</v>
      </c>
      <c r="L1801" s="12">
        <v>1699</v>
      </c>
      <c r="M1801" s="12">
        <v>3478</v>
      </c>
      <c r="N1801" s="12">
        <v>13</v>
      </c>
      <c r="O1801" s="15"/>
      <c r="P1801" s="6">
        <v>40971.163958333331</v>
      </c>
      <c r="Q1801" s="16" t="s">
        <v>4189</v>
      </c>
      <c r="R1801" s="17" t="s">
        <v>4190</v>
      </c>
      <c r="S1801" s="11"/>
      <c r="T1801" s="11"/>
      <c r="U1801" s="10" t="str">
        <f>HYPERLINK("https://pbs.twimg.com/profile_images/1063850581440090113/IZxkpEv2.jpg","View")</f>
        <v>View</v>
      </c>
    </row>
    <row r="1802" spans="1:21" ht="91.8">
      <c r="A1802" s="6">
        <v>43425.165509259255</v>
      </c>
      <c r="B1802" s="7" t="str">
        <f>HYPERLINK("https://twitter.com/anguestar","@anguestar")</f>
        <v>@anguestar</v>
      </c>
      <c r="C1802" s="8" t="s">
        <v>7365</v>
      </c>
      <c r="D1802" s="9" t="s">
        <v>7366</v>
      </c>
      <c r="E1802" s="10" t="str">
        <f>HYPERLINK("https://twitter.com/anguestar/status/1065212815089250305","1065212815089250305")</f>
        <v>1065212815089250305</v>
      </c>
      <c r="F1802" s="14" t="s">
        <v>7367</v>
      </c>
      <c r="G1802" s="14" t="s">
        <v>7368</v>
      </c>
      <c r="H1802" s="11"/>
      <c r="I1802" s="12">
        <v>0</v>
      </c>
      <c r="J1802" s="12">
        <v>1</v>
      </c>
      <c r="K1802" s="13" t="str">
        <f t="shared" ref="K1802:K1803" si="377">HYPERLINK("http://twitter.com","Twitter Web Client")</f>
        <v>Twitter Web Client</v>
      </c>
      <c r="L1802" s="12">
        <v>581</v>
      </c>
      <c r="M1802" s="12">
        <v>800</v>
      </c>
      <c r="N1802" s="12">
        <v>0</v>
      </c>
      <c r="O1802" s="15"/>
      <c r="P1802" s="6">
        <v>40169.444293981483</v>
      </c>
      <c r="Q1802" s="11"/>
      <c r="R1802" s="19"/>
      <c r="S1802" s="11"/>
      <c r="T1802" s="11"/>
      <c r="U1802" s="10" t="str">
        <f>HYPERLINK("https://pbs.twimg.com/profile_images/834186483137404928/F_WgPttZ.jpg","View")</f>
        <v>View</v>
      </c>
    </row>
    <row r="1803" spans="1:21" ht="40.799999999999997">
      <c r="A1803" s="6">
        <v>43425.164618055554</v>
      </c>
      <c r="B1803" s="7" t="str">
        <f>HYPERLINK("https://twitter.com/brubeaker","@brubeaker")</f>
        <v>@brubeaker</v>
      </c>
      <c r="C1803" s="8" t="s">
        <v>7369</v>
      </c>
      <c r="D1803" s="9" t="s">
        <v>7370</v>
      </c>
      <c r="E1803" s="10" t="str">
        <f>HYPERLINK("https://twitter.com/brubeaker/status/1065212492941590530","1065212492941590530")</f>
        <v>1065212492941590530</v>
      </c>
      <c r="F1803" s="14" t="s">
        <v>7371</v>
      </c>
      <c r="G1803" s="11"/>
      <c r="H1803" s="11"/>
      <c r="I1803" s="12">
        <v>0</v>
      </c>
      <c r="J1803" s="12">
        <v>0</v>
      </c>
      <c r="K1803" s="13" t="str">
        <f t="shared" si="377"/>
        <v>Twitter Web Client</v>
      </c>
      <c r="L1803" s="12">
        <v>39</v>
      </c>
      <c r="M1803" s="12">
        <v>163</v>
      </c>
      <c r="N1803" s="12">
        <v>2</v>
      </c>
      <c r="O1803" s="15"/>
      <c r="P1803" s="6">
        <v>41779.961550925924</v>
      </c>
      <c r="Q1803" s="11"/>
      <c r="R1803" s="17" t="s">
        <v>7372</v>
      </c>
      <c r="S1803" s="11"/>
      <c r="T1803" s="11"/>
      <c r="U1803" s="10" t="str">
        <f>HYPERLINK("https://pbs.twimg.com/profile_images/1036025081179332608/VWYH9QdS.jpg","View")</f>
        <v>View</v>
      </c>
    </row>
    <row r="1804" spans="1:21" ht="61.2">
      <c r="A1804" s="6">
        <v>43425.1643287037</v>
      </c>
      <c r="B1804" s="7" t="str">
        <f>HYPERLINK("https://twitter.com/FreireALFONSO","@FreireALFONSO")</f>
        <v>@FreireALFONSO</v>
      </c>
      <c r="C1804" s="8" t="s">
        <v>434</v>
      </c>
      <c r="D1804" s="9" t="s">
        <v>4191</v>
      </c>
      <c r="E1804" s="10" t="str">
        <f>HYPERLINK("https://twitter.com/FreireALFONSO/status/1065212385768759296","1065212385768759296")</f>
        <v>1065212385768759296</v>
      </c>
      <c r="F1804" s="11"/>
      <c r="G1804" s="14" t="s">
        <v>4192</v>
      </c>
      <c r="H1804" s="11"/>
      <c r="I1804" s="12">
        <v>0</v>
      </c>
      <c r="J1804" s="12">
        <v>0</v>
      </c>
      <c r="K1804" s="13" t="str">
        <f t="shared" ref="K1804:K1805" si="378">HYPERLINK("http://twitter.com/download/android","Twitter for Android")</f>
        <v>Twitter for Android</v>
      </c>
      <c r="L1804" s="12">
        <v>101</v>
      </c>
      <c r="M1804" s="12">
        <v>83</v>
      </c>
      <c r="N1804" s="12">
        <v>4</v>
      </c>
      <c r="O1804" s="15"/>
      <c r="P1804" s="6">
        <v>41195.490740740745</v>
      </c>
      <c r="Q1804" s="16" t="s">
        <v>439</v>
      </c>
      <c r="R1804" s="17" t="s">
        <v>440</v>
      </c>
      <c r="S1804" s="11"/>
      <c r="T1804" s="11"/>
      <c r="U1804" s="10" t="str">
        <f>HYPERLINK("https://pbs.twimg.com/profile_images/1040311561552887808/pTkAtlbw.jpg","View")</f>
        <v>View</v>
      </c>
    </row>
    <row r="1805" spans="1:21" ht="51">
      <c r="A1805" s="6">
        <v>43425.163252314815</v>
      </c>
      <c r="B1805" s="7" t="str">
        <f>HYPERLINK("https://twitter.com/TomasFe14020511","@TomasFe14020511")</f>
        <v>@TomasFe14020511</v>
      </c>
      <c r="C1805" s="8" t="s">
        <v>1185</v>
      </c>
      <c r="D1805" s="9" t="s">
        <v>4193</v>
      </c>
      <c r="E1805" s="10" t="str">
        <f>HYPERLINK("https://twitter.com/TomasFe14020511/status/1065211998621888512","1065211998621888512")</f>
        <v>1065211998621888512</v>
      </c>
      <c r="F1805" s="16" t="s">
        <v>4194</v>
      </c>
      <c r="G1805" s="11"/>
      <c r="H1805" s="11"/>
      <c r="I1805" s="12">
        <v>1</v>
      </c>
      <c r="J1805" s="12">
        <v>0</v>
      </c>
      <c r="K1805" s="13" t="str">
        <f t="shared" si="378"/>
        <v>Twitter for Android</v>
      </c>
      <c r="L1805" s="12">
        <v>1321</v>
      </c>
      <c r="M1805" s="12">
        <v>1311</v>
      </c>
      <c r="N1805" s="12">
        <v>5</v>
      </c>
      <c r="O1805" s="15"/>
      <c r="P1805" s="6">
        <v>43048.962407407409</v>
      </c>
      <c r="Q1805" s="16" t="s">
        <v>1188</v>
      </c>
      <c r="R1805" s="17" t="s">
        <v>1189</v>
      </c>
      <c r="S1805" s="11"/>
      <c r="T1805" s="11"/>
      <c r="U1805" s="10" t="str">
        <f>HYPERLINK("https://pbs.twimg.com/profile_images/991457940627447813/C8Mm4Yiy.jpg","View")</f>
        <v>View</v>
      </c>
    </row>
    <row r="1806" spans="1:21" ht="20.399999999999999">
      <c r="A1806" s="6">
        <v>43425.161469907413</v>
      </c>
      <c r="B1806" s="7" t="str">
        <f>HYPERLINK("https://twitter.com/nafasaro1","@nafasaro1")</f>
        <v>@nafasaro1</v>
      </c>
      <c r="C1806" s="8" t="s">
        <v>4196</v>
      </c>
      <c r="D1806" s="9" t="s">
        <v>4197</v>
      </c>
      <c r="E1806" s="10" t="str">
        <f>HYPERLINK("https://twitter.com/nafasaro1/status/1065211352833318917","1065211352833318917")</f>
        <v>1065211352833318917</v>
      </c>
      <c r="F1806" s="14" t="s">
        <v>4200</v>
      </c>
      <c r="G1806" s="11"/>
      <c r="H1806" s="11"/>
      <c r="I1806" s="12">
        <v>0</v>
      </c>
      <c r="J1806" s="12">
        <v>1</v>
      </c>
      <c r="K1806" s="13" t="str">
        <f>HYPERLINK("http://twitter.com","Twitter Web Client")</f>
        <v>Twitter Web Client</v>
      </c>
      <c r="L1806" s="12">
        <v>610</v>
      </c>
      <c r="M1806" s="12">
        <v>3000</v>
      </c>
      <c r="N1806" s="12">
        <v>18</v>
      </c>
      <c r="O1806" s="15"/>
      <c r="P1806" s="6">
        <v>42293.138032407413</v>
      </c>
      <c r="Q1806" s="16" t="s">
        <v>4203</v>
      </c>
      <c r="R1806" s="17" t="s">
        <v>4204</v>
      </c>
      <c r="S1806" s="11"/>
      <c r="T1806" s="11"/>
      <c r="U1806" s="10" t="str">
        <f>HYPERLINK("https://pbs.twimg.com/profile_images/1060646658982187009/6VfOFfpw.jpg","View")</f>
        <v>View</v>
      </c>
    </row>
    <row r="1807" spans="1:21" ht="51">
      <c r="A1807" s="6">
        <v>43425.159166666665</v>
      </c>
      <c r="B1807" s="7" t="str">
        <f>HYPERLINK("https://twitter.com/gara_ice","@gara_ice")</f>
        <v>@gara_ice</v>
      </c>
      <c r="C1807" s="8" t="s">
        <v>1475</v>
      </c>
      <c r="D1807" s="9" t="s">
        <v>7373</v>
      </c>
      <c r="E1807" s="10" t="str">
        <f>HYPERLINK("https://twitter.com/gara_ice/status/1065210517017513985","1065210517017513985")</f>
        <v>1065210517017513985</v>
      </c>
      <c r="F1807" s="14" t="s">
        <v>7374</v>
      </c>
      <c r="G1807" s="11"/>
      <c r="H1807" s="11"/>
      <c r="I1807" s="12">
        <v>0</v>
      </c>
      <c r="J1807" s="12">
        <v>0</v>
      </c>
      <c r="K1807" s="13" t="str">
        <f>HYPERLINK("https://ifttt.com","IFTTT")</f>
        <v>IFTTT</v>
      </c>
      <c r="L1807" s="12">
        <v>445</v>
      </c>
      <c r="M1807" s="12">
        <v>434</v>
      </c>
      <c r="N1807" s="12">
        <v>10</v>
      </c>
      <c r="O1807" s="15"/>
      <c r="P1807" s="6">
        <v>39590.060324074075</v>
      </c>
      <c r="Q1807" s="11"/>
      <c r="R1807" s="19"/>
      <c r="S1807" s="11"/>
      <c r="T1807" s="11"/>
      <c r="U1807" s="10" t="str">
        <f>HYPERLINK("https://pbs.twimg.com/profile_images/561850533468971008/-4f3cnLr.jpeg","View")</f>
        <v>View</v>
      </c>
    </row>
    <row r="1808" spans="1:21" ht="30.6">
      <c r="A1808" s="6">
        <v>43425.159085648149</v>
      </c>
      <c r="B1808" s="7" t="str">
        <f>HYPERLINK("https://twitter.com/jjnegri4","@jjnegri4")</f>
        <v>@jjnegri4</v>
      </c>
      <c r="C1808" s="8" t="s">
        <v>7375</v>
      </c>
      <c r="D1808" s="9" t="s">
        <v>7376</v>
      </c>
      <c r="E1808" s="10" t="str">
        <f>HYPERLINK("https://twitter.com/jjnegri4/status/1065210487556775936","1065210487556775936")</f>
        <v>1065210487556775936</v>
      </c>
      <c r="F1808" s="11"/>
      <c r="G1808" s="14" t="s">
        <v>7377</v>
      </c>
      <c r="H1808" s="11"/>
      <c r="I1808" s="12">
        <v>1</v>
      </c>
      <c r="J1808" s="12">
        <v>32</v>
      </c>
      <c r="K1808" s="13" t="str">
        <f>HYPERLINK("http://twitter.com/download/android","Twitter for Android")</f>
        <v>Twitter for Android</v>
      </c>
      <c r="L1808" s="12">
        <v>1962</v>
      </c>
      <c r="M1808" s="12">
        <v>299</v>
      </c>
      <c r="N1808" s="12">
        <v>12</v>
      </c>
      <c r="O1808" s="15"/>
      <c r="P1808" s="6">
        <v>41764.32880787037</v>
      </c>
      <c r="Q1808" s="11"/>
      <c r="R1808" s="17" t="s">
        <v>7378</v>
      </c>
      <c r="S1808" s="14" t="s">
        <v>7379</v>
      </c>
      <c r="T1808" s="11"/>
      <c r="U1808" s="10" t="str">
        <f>HYPERLINK("https://pbs.twimg.com/profile_images/930068248904814592/uPSe4kbk.jpg","View")</f>
        <v>View</v>
      </c>
    </row>
    <row r="1809" spans="1:21" ht="51">
      <c r="A1809" s="6">
        <v>43425.158518518518</v>
      </c>
      <c r="B1809" s="7" t="str">
        <f>HYPERLINK("https://twitter.com/oscarnj74","@oscarnj74")</f>
        <v>@oscarnj74</v>
      </c>
      <c r="C1809" s="8" t="s">
        <v>4209</v>
      </c>
      <c r="D1809" s="9" t="s">
        <v>4210</v>
      </c>
      <c r="E1809" s="10" t="str">
        <f>HYPERLINK("https://twitter.com/oscarnj74/status/1065210283608719361","1065210283608719361")</f>
        <v>1065210283608719361</v>
      </c>
      <c r="F1809" s="16" t="s">
        <v>4184</v>
      </c>
      <c r="G1809" s="14" t="s">
        <v>4185</v>
      </c>
      <c r="H1809" s="11"/>
      <c r="I1809" s="12">
        <v>0</v>
      </c>
      <c r="J1809" s="12">
        <v>1</v>
      </c>
      <c r="K1809" s="13" t="str">
        <f t="shared" ref="K1809:K1810" si="379">HYPERLINK("http://twitter.com","Twitter Web Client")</f>
        <v>Twitter Web Client</v>
      </c>
      <c r="L1809" s="12">
        <v>55</v>
      </c>
      <c r="M1809" s="12">
        <v>125</v>
      </c>
      <c r="N1809" s="12">
        <v>1</v>
      </c>
      <c r="O1809" s="15"/>
      <c r="P1809" s="6">
        <v>41239.454814814817</v>
      </c>
      <c r="Q1809" s="16" t="s">
        <v>4211</v>
      </c>
      <c r="R1809" s="17" t="s">
        <v>4212</v>
      </c>
      <c r="S1809" s="11"/>
      <c r="T1809" s="11"/>
      <c r="U1809" s="10" t="str">
        <f>HYPERLINK("https://pbs.twimg.com/profile_images/787358336111013888/P77BGDbH.jpg","View")</f>
        <v>View</v>
      </c>
    </row>
    <row r="1810" spans="1:21" ht="51">
      <c r="A1810" s="6">
        <v>43425.157476851848</v>
      </c>
      <c r="B1810" s="7" t="str">
        <f>HYPERLINK("https://twitter.com/carlosddsanz","@carlosddsanz")</f>
        <v>@carlosddsanz</v>
      </c>
      <c r="C1810" s="8" t="s">
        <v>7380</v>
      </c>
      <c r="D1810" s="9" t="s">
        <v>7381</v>
      </c>
      <c r="E1810" s="10" t="str">
        <f>HYPERLINK("https://twitter.com/carlosddsanz/status/1065209905391550465","1065209905391550465")</f>
        <v>1065209905391550465</v>
      </c>
      <c r="F1810" s="11"/>
      <c r="G1810" s="11"/>
      <c r="H1810" s="11"/>
      <c r="I1810" s="12">
        <v>0</v>
      </c>
      <c r="J1810" s="12">
        <v>0</v>
      </c>
      <c r="K1810" s="13" t="str">
        <f t="shared" si="379"/>
        <v>Twitter Web Client</v>
      </c>
      <c r="L1810" s="12">
        <v>406</v>
      </c>
      <c r="M1810" s="12">
        <v>947</v>
      </c>
      <c r="N1810" s="12">
        <v>26</v>
      </c>
      <c r="O1810" s="15"/>
      <c r="P1810" s="6">
        <v>40497.05128472222</v>
      </c>
      <c r="Q1810" s="16" t="s">
        <v>7382</v>
      </c>
      <c r="R1810" s="17" t="s">
        <v>7383</v>
      </c>
      <c r="S1810" s="11"/>
      <c r="T1810" s="11"/>
      <c r="U1810" s="10" t="str">
        <f>HYPERLINK("https://pbs.twimg.com/profile_images/926959205336174592/xSMQjkRB.jpg","View")</f>
        <v>View</v>
      </c>
    </row>
    <row r="1811" spans="1:21" ht="51">
      <c r="A1811" s="6">
        <v>43425.157349537039</v>
      </c>
      <c r="B1811" s="7" t="str">
        <f>HYPERLINK("https://twitter.com/protestona1","@protestona1")</f>
        <v>@protestona1</v>
      </c>
      <c r="C1811" s="8" t="s">
        <v>521</v>
      </c>
      <c r="D1811" s="9" t="s">
        <v>4215</v>
      </c>
      <c r="E1811" s="10" t="str">
        <f>HYPERLINK("https://twitter.com/protestona1/status/1065209860277583873","1065209860277583873")</f>
        <v>1065209860277583873</v>
      </c>
      <c r="F1811" s="11"/>
      <c r="G1811" s="14" t="s">
        <v>4217</v>
      </c>
      <c r="H1811" s="11"/>
      <c r="I1811" s="12">
        <v>88</v>
      </c>
      <c r="J1811" s="12">
        <v>109</v>
      </c>
      <c r="K1811" s="13" t="str">
        <f t="shared" ref="K1811:K1812" si="380">HYPERLINK("http://twitter.com/download/iphone","Twitter for iPhone")</f>
        <v>Twitter for iPhone</v>
      </c>
      <c r="L1811" s="12">
        <v>151544</v>
      </c>
      <c r="M1811" s="12">
        <v>2210</v>
      </c>
      <c r="N1811" s="12">
        <v>4</v>
      </c>
      <c r="O1811" s="15"/>
      <c r="P1811" s="6">
        <v>41352.488032407404</v>
      </c>
      <c r="Q1811" s="16" t="s">
        <v>132</v>
      </c>
      <c r="R1811" s="17" t="s">
        <v>527</v>
      </c>
      <c r="S1811" s="14" t="s">
        <v>528</v>
      </c>
      <c r="T1811" s="11"/>
      <c r="U1811" s="10" t="str">
        <f>HYPERLINK("https://pbs.twimg.com/profile_images/1014938895501463552/_oCE6Q1b.jpg","View")</f>
        <v>View</v>
      </c>
    </row>
    <row r="1812" spans="1:21" ht="40.799999999999997">
      <c r="A1812" s="6">
        <v>43425.157291666663</v>
      </c>
      <c r="B1812" s="7" t="str">
        <f>HYPERLINK("https://twitter.com/PodemosLugo","@PodemosLugo")</f>
        <v>@PodemosLugo</v>
      </c>
      <c r="C1812" s="8" t="s">
        <v>4220</v>
      </c>
      <c r="D1812" s="9" t="s">
        <v>4221</v>
      </c>
      <c r="E1812" s="10" t="str">
        <f>HYPERLINK("https://twitter.com/PodemosLugo/status/1065209838312046592","1065209838312046592")</f>
        <v>1065209838312046592</v>
      </c>
      <c r="F1812" s="11"/>
      <c r="G1812" s="14" t="s">
        <v>4224</v>
      </c>
      <c r="H1812" s="11"/>
      <c r="I1812" s="12">
        <v>6</v>
      </c>
      <c r="J1812" s="12">
        <v>4</v>
      </c>
      <c r="K1812" s="13" t="str">
        <f t="shared" si="380"/>
        <v>Twitter for iPhone</v>
      </c>
      <c r="L1812" s="12">
        <v>1695</v>
      </c>
      <c r="M1812" s="12">
        <v>761</v>
      </c>
      <c r="N1812" s="12">
        <v>32</v>
      </c>
      <c r="O1812" s="15"/>
      <c r="P1812" s="6">
        <v>41695.139930555553</v>
      </c>
      <c r="Q1812" s="16" t="s">
        <v>4225</v>
      </c>
      <c r="R1812" s="17" t="s">
        <v>4226</v>
      </c>
      <c r="S1812" s="11"/>
      <c r="T1812" s="11"/>
      <c r="U1812" s="10" t="str">
        <f>HYPERLINK("https://pbs.twimg.com/profile_images/882896997983948801/C7ktmGl-.jpg","View")</f>
        <v>View</v>
      </c>
    </row>
    <row r="1813" spans="1:21" ht="20.399999999999999">
      <c r="A1813" s="6">
        <v>43425.156736111108</v>
      </c>
      <c r="B1813" s="7" t="str">
        <f>HYPERLINK("https://twitter.com/carollm333","@carollm333")</f>
        <v>@carollm333</v>
      </c>
      <c r="C1813" s="8" t="s">
        <v>2536</v>
      </c>
      <c r="D1813" s="9" t="s">
        <v>7384</v>
      </c>
      <c r="E1813" s="10" t="str">
        <f>HYPERLINK("https://twitter.com/carollm333/status/1065209634083008513","1065209634083008513")</f>
        <v>1065209634083008513</v>
      </c>
      <c r="F1813" s="14" t="s">
        <v>7385</v>
      </c>
      <c r="G1813" s="11"/>
      <c r="H1813" s="11"/>
      <c r="I1813" s="12">
        <v>0</v>
      </c>
      <c r="J1813" s="12">
        <v>0</v>
      </c>
      <c r="K1813" s="13" t="str">
        <f t="shared" ref="K1813:K1815" si="381">HYPERLINK("http://twitter.com/download/android","Twitter for Android")</f>
        <v>Twitter for Android</v>
      </c>
      <c r="L1813" s="12">
        <v>1214</v>
      </c>
      <c r="M1813" s="12">
        <v>1038</v>
      </c>
      <c r="N1813" s="12">
        <v>79</v>
      </c>
      <c r="O1813" s="15"/>
      <c r="P1813" s="6">
        <v>40577.436874999999</v>
      </c>
      <c r="Q1813" s="11"/>
      <c r="R1813" s="19"/>
      <c r="S1813" s="11"/>
      <c r="T1813" s="11"/>
      <c r="U1813" s="10" t="str">
        <f>HYPERLINK("https://pbs.twimg.com/profile_images/1002860850015817729/9pVXZX1m.jpg","View")</f>
        <v>View</v>
      </c>
    </row>
    <row r="1814" spans="1:21" ht="51">
      <c r="A1814" s="6">
        <v>43425.153194444443</v>
      </c>
      <c r="B1814" s="7" t="str">
        <f>HYPERLINK("https://twitter.com/_espatricia","@_espatricia")</f>
        <v>@_espatricia</v>
      </c>
      <c r="C1814" s="8" t="s">
        <v>3015</v>
      </c>
      <c r="D1814" s="9" t="s">
        <v>7386</v>
      </c>
      <c r="E1814" s="10" t="str">
        <f>HYPERLINK("https://twitter.com/_espatricia/status/1065208354337902592","1065208354337902592")</f>
        <v>1065208354337902592</v>
      </c>
      <c r="F1814" s="11"/>
      <c r="G1814" s="14" t="s">
        <v>7387</v>
      </c>
      <c r="H1814" s="11"/>
      <c r="I1814" s="12">
        <v>39</v>
      </c>
      <c r="J1814" s="12">
        <v>235</v>
      </c>
      <c r="K1814" s="13" t="str">
        <f t="shared" si="381"/>
        <v>Twitter for Android</v>
      </c>
      <c r="L1814" s="12">
        <v>16345</v>
      </c>
      <c r="M1814" s="12">
        <v>1609</v>
      </c>
      <c r="N1814" s="12">
        <v>224</v>
      </c>
      <c r="O1814" s="15"/>
      <c r="P1814" s="6">
        <v>40948.593171296292</v>
      </c>
      <c r="Q1814" s="16" t="s">
        <v>3020</v>
      </c>
      <c r="R1814" s="17" t="s">
        <v>3021</v>
      </c>
      <c r="S1814" s="14" t="s">
        <v>3022</v>
      </c>
      <c r="T1814" s="11"/>
      <c r="U1814" s="10" t="str">
        <f>HYPERLINK("https://pbs.twimg.com/profile_images/953942549999374338/SoKERY4e.jpg","View")</f>
        <v>View</v>
      </c>
    </row>
    <row r="1815" spans="1:21" ht="20.399999999999999">
      <c r="A1815" s="6">
        <v>43425.151273148149</v>
      </c>
      <c r="B1815" s="7" t="str">
        <f>HYPERLINK("https://twitter.com/jecaste2","@jecaste2")</f>
        <v>@jecaste2</v>
      </c>
      <c r="C1815" s="8" t="s">
        <v>7388</v>
      </c>
      <c r="D1815" s="9" t="s">
        <v>7389</v>
      </c>
      <c r="E1815" s="10" t="str">
        <f>HYPERLINK("https://twitter.com/jecaste2/status/1065207655411654657","1065207655411654657")</f>
        <v>1065207655411654657</v>
      </c>
      <c r="F1815" s="11"/>
      <c r="G1815" s="11"/>
      <c r="H1815" s="11"/>
      <c r="I1815" s="12">
        <v>0</v>
      </c>
      <c r="J1815" s="12">
        <v>1</v>
      </c>
      <c r="K1815" s="13" t="str">
        <f t="shared" si="381"/>
        <v>Twitter for Android</v>
      </c>
      <c r="L1815" s="12">
        <v>70</v>
      </c>
      <c r="M1815" s="12">
        <v>470</v>
      </c>
      <c r="N1815" s="12">
        <v>2</v>
      </c>
      <c r="O1815" s="15"/>
      <c r="P1815" s="6">
        <v>41448.213865740741</v>
      </c>
      <c r="Q1815" s="16" t="s">
        <v>7390</v>
      </c>
      <c r="R1815" s="17" t="s">
        <v>7391</v>
      </c>
      <c r="S1815" s="11"/>
      <c r="T1815" s="11"/>
      <c r="U1815" s="10" t="str">
        <f>HYPERLINK("https://pbs.twimg.com/profile_images/998305070880980992/Y2LffO78.jpg","View")</f>
        <v>View</v>
      </c>
    </row>
    <row r="1816" spans="1:21" ht="81.599999999999994">
      <c r="A1816" s="6">
        <v>43425.149733796294</v>
      </c>
      <c r="B1816" s="7" t="str">
        <f>HYPERLINK("https://twitter.com/chusantonn","@chusantonn")</f>
        <v>@chusantonn</v>
      </c>
      <c r="C1816" s="8" t="s">
        <v>2143</v>
      </c>
      <c r="D1816" s="9" t="s">
        <v>4229</v>
      </c>
      <c r="E1816" s="10" t="str">
        <f>HYPERLINK("https://twitter.com/chusantonn/status/1065207099951669248","1065207099951669248")</f>
        <v>1065207099951669248</v>
      </c>
      <c r="F1816" s="14" t="s">
        <v>3662</v>
      </c>
      <c r="G1816" s="11"/>
      <c r="H1816" s="11"/>
      <c r="I1816" s="12">
        <v>0</v>
      </c>
      <c r="J1816" s="12">
        <v>0</v>
      </c>
      <c r="K1816" s="13" t="str">
        <f>HYPERLINK("http://twitter.com/download/iphone","Twitter for iPhone")</f>
        <v>Twitter for iPhone</v>
      </c>
      <c r="L1816" s="12">
        <v>62</v>
      </c>
      <c r="M1816" s="12">
        <v>540</v>
      </c>
      <c r="N1816" s="12">
        <v>1</v>
      </c>
      <c r="O1816" s="15"/>
      <c r="P1816" s="6">
        <v>42450.392812499995</v>
      </c>
      <c r="Q1816" s="16" t="s">
        <v>1206</v>
      </c>
      <c r="R1816" s="17" t="s">
        <v>4230</v>
      </c>
      <c r="S1816" s="11"/>
      <c r="T1816" s="11"/>
      <c r="U1816" s="10" t="str">
        <f>HYPERLINK("https://pbs.twimg.com/profile_images/917279488408420352/tTfkXoWK.jpg","View")</f>
        <v>View</v>
      </c>
    </row>
    <row r="1817" spans="1:21" ht="51">
      <c r="A1817" s="6">
        <v>43425.148784722223</v>
      </c>
      <c r="B1817" s="7" t="str">
        <f>HYPERLINK("https://twitter.com/RubenCuellar_97","@RubenCuellar_97")</f>
        <v>@RubenCuellar_97</v>
      </c>
      <c r="C1817" s="8" t="s">
        <v>5676</v>
      </c>
      <c r="D1817" s="9" t="s">
        <v>7392</v>
      </c>
      <c r="E1817" s="10" t="str">
        <f>HYPERLINK("https://twitter.com/RubenCuellar_97/status/1065206752461971456","1065206752461971456")</f>
        <v>1065206752461971456</v>
      </c>
      <c r="F1817" s="11"/>
      <c r="G1817" s="14" t="s">
        <v>7393</v>
      </c>
      <c r="H1817" s="11"/>
      <c r="I1817" s="12">
        <v>0</v>
      </c>
      <c r="J1817" s="12">
        <v>0</v>
      </c>
      <c r="K1817" s="13" t="str">
        <f>HYPERLINK("http://twitter.com","Twitter Web Client")</f>
        <v>Twitter Web Client</v>
      </c>
      <c r="L1817" s="12">
        <v>528</v>
      </c>
      <c r="M1817" s="12">
        <v>535</v>
      </c>
      <c r="N1817" s="12">
        <v>9</v>
      </c>
      <c r="O1817" s="15"/>
      <c r="P1817" s="6">
        <v>41047.628333333334</v>
      </c>
      <c r="Q1817" s="16" t="s">
        <v>5677</v>
      </c>
      <c r="R1817" s="17" t="s">
        <v>5678</v>
      </c>
      <c r="S1817" s="11"/>
      <c r="T1817" s="11"/>
      <c r="U1817" s="10" t="str">
        <f>HYPERLINK("https://pbs.twimg.com/profile_images/843115109857873920/IkEG5FdQ.jpg","View")</f>
        <v>View</v>
      </c>
    </row>
    <row r="1818" spans="1:21" ht="20.399999999999999">
      <c r="A1818" s="6">
        <v>43425.148680555554</v>
      </c>
      <c r="B1818" s="7" t="str">
        <f>HYPERLINK("https://twitter.com/elarbeyu","@elarbeyu")</f>
        <v>@elarbeyu</v>
      </c>
      <c r="C1818" s="8" t="s">
        <v>7394</v>
      </c>
      <c r="D1818" s="9" t="s">
        <v>1415</v>
      </c>
      <c r="E1818" s="10" t="str">
        <f>HYPERLINK("https://twitter.com/elarbeyu/status/1065206715753398274","1065206715753398274")</f>
        <v>1065206715753398274</v>
      </c>
      <c r="F1818" s="14" t="s">
        <v>7395</v>
      </c>
      <c r="G1818" s="11"/>
      <c r="H1818" s="11"/>
      <c r="I1818" s="12">
        <v>0</v>
      </c>
      <c r="J1818" s="12">
        <v>0</v>
      </c>
      <c r="K1818" s="13" t="str">
        <f>HYPERLINK("http://www.facebook.com/twitter","Facebook")</f>
        <v>Facebook</v>
      </c>
      <c r="L1818" s="12">
        <v>862</v>
      </c>
      <c r="M1818" s="12">
        <v>2247</v>
      </c>
      <c r="N1818" s="12">
        <v>28</v>
      </c>
      <c r="O1818" s="15"/>
      <c r="P1818" s="6">
        <v>42009.258981481486</v>
      </c>
      <c r="Q1818" s="16" t="s">
        <v>5769</v>
      </c>
      <c r="R1818" s="17" t="s">
        <v>7396</v>
      </c>
      <c r="S1818" s="11"/>
      <c r="T1818" s="11"/>
      <c r="U1818" s="10" t="str">
        <f>HYPERLINK("https://pbs.twimg.com/profile_images/874302170560114690/jgMIFW6o.jpg","View")</f>
        <v>View</v>
      </c>
    </row>
    <row r="1819" spans="1:21" ht="30.6">
      <c r="A1819" s="6">
        <v>43425.147719907407</v>
      </c>
      <c r="B1819" s="7" t="str">
        <f>HYPERLINK("https://twitter.com/luis_gilgb","@luis_gilgb")</f>
        <v>@luis_gilgb</v>
      </c>
      <c r="C1819" s="8" t="s">
        <v>720</v>
      </c>
      <c r="D1819" s="9" t="s">
        <v>7397</v>
      </c>
      <c r="E1819" s="10" t="str">
        <f>HYPERLINK("https://twitter.com/luis_gilgb/status/1065206368909619200","1065206368909619200")</f>
        <v>1065206368909619200</v>
      </c>
      <c r="F1819" s="11"/>
      <c r="G1819" s="11"/>
      <c r="H1819" s="11"/>
      <c r="I1819" s="12">
        <v>0</v>
      </c>
      <c r="J1819" s="12">
        <v>1</v>
      </c>
      <c r="K1819" s="13" t="str">
        <f>HYPERLINK("http://twitter.com/download/android","Twitter for Android")</f>
        <v>Twitter for Android</v>
      </c>
      <c r="L1819" s="12">
        <v>471</v>
      </c>
      <c r="M1819" s="12">
        <v>627</v>
      </c>
      <c r="N1819" s="12">
        <v>17</v>
      </c>
      <c r="O1819" s="15"/>
      <c r="P1819" s="6">
        <v>40577.57712962963</v>
      </c>
      <c r="Q1819" s="16" t="s">
        <v>7398</v>
      </c>
      <c r="R1819" s="17" t="s">
        <v>7399</v>
      </c>
      <c r="S1819" s="11"/>
      <c r="T1819" s="11"/>
      <c r="U1819" s="10" t="str">
        <f>HYPERLINK("https://pbs.twimg.com/profile_images/1024785571862994944/P_yMygYW.jpg","View")</f>
        <v>View</v>
      </c>
    </row>
    <row r="1820" spans="1:21" ht="40.799999999999997">
      <c r="A1820" s="6">
        <v>43425.141643518524</v>
      </c>
      <c r="B1820" s="7" t="str">
        <f>HYPERLINK("https://twitter.com/protestona1","@protestona1")</f>
        <v>@protestona1</v>
      </c>
      <c r="C1820" s="8" t="s">
        <v>521</v>
      </c>
      <c r="D1820" s="9" t="s">
        <v>4231</v>
      </c>
      <c r="E1820" s="10" t="str">
        <f>HYPERLINK("https://twitter.com/protestona1/status/1065204164559626241","1065204164559626241")</f>
        <v>1065204164559626241</v>
      </c>
      <c r="F1820" s="11"/>
      <c r="G1820" s="11"/>
      <c r="H1820" s="11"/>
      <c r="I1820" s="12">
        <v>53</v>
      </c>
      <c r="J1820" s="12">
        <v>78</v>
      </c>
      <c r="K1820" s="13" t="str">
        <f>HYPERLINK("http://twitter.com","Twitter Web Client")</f>
        <v>Twitter Web Client</v>
      </c>
      <c r="L1820" s="12">
        <v>151544</v>
      </c>
      <c r="M1820" s="12">
        <v>2210</v>
      </c>
      <c r="N1820" s="12">
        <v>4</v>
      </c>
      <c r="O1820" s="15"/>
      <c r="P1820" s="6">
        <v>41352.488032407404</v>
      </c>
      <c r="Q1820" s="16" t="s">
        <v>132</v>
      </c>
      <c r="R1820" s="17" t="s">
        <v>527</v>
      </c>
      <c r="S1820" s="14" t="s">
        <v>528</v>
      </c>
      <c r="T1820" s="11"/>
      <c r="U1820" s="10" t="str">
        <f>HYPERLINK("https://pbs.twimg.com/profile_images/1014938895501463552/_oCE6Q1b.jpg","View")</f>
        <v>View</v>
      </c>
    </row>
    <row r="1821" spans="1:21" ht="61.2">
      <c r="A1821" s="6">
        <v>43425.140879629631</v>
      </c>
      <c r="B1821" s="7" t="str">
        <f t="shared" ref="B1821:B1822" si="382">HYPERLINK("https://twitter.com/DDHHDiscapacid1","@DDHHDiscapacid1")</f>
        <v>@DDHHDiscapacid1</v>
      </c>
      <c r="C1821" s="8" t="s">
        <v>4233</v>
      </c>
      <c r="D1821" s="9" t="s">
        <v>4234</v>
      </c>
      <c r="E1821" s="10" t="str">
        <f>HYPERLINK("https://twitter.com/DDHHDiscapacid1/status/1065203890524688384","1065203890524688384")</f>
        <v>1065203890524688384</v>
      </c>
      <c r="F1821" s="11"/>
      <c r="G1821" s="11"/>
      <c r="H1821" s="11"/>
      <c r="I1821" s="12">
        <v>0</v>
      </c>
      <c r="J1821" s="12">
        <v>0</v>
      </c>
      <c r="K1821" s="13" t="str">
        <f t="shared" ref="K1821:K1822" si="383">HYPERLINK("http://twitter.com/download/android","Twitter for Android")</f>
        <v>Twitter for Android</v>
      </c>
      <c r="L1821" s="12">
        <v>19</v>
      </c>
      <c r="M1821" s="12">
        <v>12</v>
      </c>
      <c r="N1821" s="12">
        <v>0</v>
      </c>
      <c r="O1821" s="15"/>
      <c r="P1821" s="6">
        <v>43197.274907407409</v>
      </c>
      <c r="Q1821" s="16" t="s">
        <v>2230</v>
      </c>
      <c r="R1821" s="17" t="s">
        <v>4235</v>
      </c>
      <c r="S1821" s="11"/>
      <c r="T1821" s="11"/>
      <c r="U1821" s="10" t="str">
        <f t="shared" ref="U1821:U1822" si="384">HYPERLINK("https://pbs.twimg.com/profile_images/1033684758029627392/V1nXO52u.jpg","View")</f>
        <v>View</v>
      </c>
    </row>
    <row r="1822" spans="1:21" ht="61.2">
      <c r="A1822" s="6">
        <v>43425.140810185185</v>
      </c>
      <c r="B1822" s="7" t="str">
        <f t="shared" si="382"/>
        <v>@DDHHDiscapacid1</v>
      </c>
      <c r="C1822" s="8" t="s">
        <v>4233</v>
      </c>
      <c r="D1822" s="9" t="s">
        <v>4239</v>
      </c>
      <c r="E1822" s="10" t="str">
        <f>HYPERLINK("https://twitter.com/DDHHDiscapacid1/status/1065203862729052160","1065203862729052160")</f>
        <v>1065203862729052160</v>
      </c>
      <c r="F1822" s="11"/>
      <c r="G1822" s="11"/>
      <c r="H1822" s="11"/>
      <c r="I1822" s="12">
        <v>0</v>
      </c>
      <c r="J1822" s="12">
        <v>0</v>
      </c>
      <c r="K1822" s="13" t="str">
        <f t="shared" si="383"/>
        <v>Twitter for Android</v>
      </c>
      <c r="L1822" s="12">
        <v>19</v>
      </c>
      <c r="M1822" s="12">
        <v>12</v>
      </c>
      <c r="N1822" s="12">
        <v>0</v>
      </c>
      <c r="O1822" s="15"/>
      <c r="P1822" s="6">
        <v>43197.274907407409</v>
      </c>
      <c r="Q1822" s="16" t="s">
        <v>2230</v>
      </c>
      <c r="R1822" s="17" t="s">
        <v>4235</v>
      </c>
      <c r="S1822" s="11"/>
      <c r="T1822" s="11"/>
      <c r="U1822" s="10" t="str">
        <f t="shared" si="384"/>
        <v>View</v>
      </c>
    </row>
    <row r="1823" spans="1:21" ht="51">
      <c r="A1823" s="6">
        <v>43425.13961805556</v>
      </c>
      <c r="B1823" s="7" t="str">
        <f>HYPERLINK("https://twitter.com/ikuslecom","@ikuslecom")</f>
        <v>@ikuslecom</v>
      </c>
      <c r="C1823" s="8" t="s">
        <v>4243</v>
      </c>
      <c r="D1823" s="9" t="s">
        <v>4244</v>
      </c>
      <c r="E1823" s="10" t="str">
        <f>HYPERLINK("https://twitter.com/ikuslecom/status/1065203434566180864","1065203434566180864")</f>
        <v>1065203434566180864</v>
      </c>
      <c r="F1823" s="14" t="s">
        <v>4246</v>
      </c>
      <c r="G1823" s="11"/>
      <c r="H1823" s="11"/>
      <c r="I1823" s="12">
        <v>0</v>
      </c>
      <c r="J1823" s="12">
        <v>0</v>
      </c>
      <c r="K1823" s="13" t="str">
        <f t="shared" ref="K1823:K1824" si="385">HYPERLINK("http://twitter.com","Twitter Web Client")</f>
        <v>Twitter Web Client</v>
      </c>
      <c r="L1823" s="12">
        <v>5280</v>
      </c>
      <c r="M1823" s="12">
        <v>210</v>
      </c>
      <c r="N1823" s="12">
        <v>111</v>
      </c>
      <c r="O1823" s="15"/>
      <c r="P1823" s="6">
        <v>41276.281909722224</v>
      </c>
      <c r="Q1823" s="16" t="s">
        <v>4247</v>
      </c>
      <c r="R1823" s="17" t="s">
        <v>4248</v>
      </c>
      <c r="S1823" s="14" t="s">
        <v>4249</v>
      </c>
      <c r="T1823" s="11"/>
      <c r="U1823" s="10" t="str">
        <f>HYPERLINK("https://pbs.twimg.com/profile_images/961194049054105600/ojU0SumC.jpg","View")</f>
        <v>View</v>
      </c>
    </row>
    <row r="1824" spans="1:21" ht="40.799999999999997">
      <c r="A1824" s="6">
        <v>43425.139479166668</v>
      </c>
      <c r="B1824" s="7" t="str">
        <f>HYPERLINK("https://twitter.com/LiberaONG","@LiberaONG")</f>
        <v>@LiberaONG</v>
      </c>
      <c r="C1824" s="8" t="s">
        <v>5941</v>
      </c>
      <c r="D1824" s="9" t="s">
        <v>7400</v>
      </c>
      <c r="E1824" s="10" t="str">
        <f>HYPERLINK("https://twitter.com/LiberaONG/status/1065203382162464769","1065203382162464769")</f>
        <v>1065203382162464769</v>
      </c>
      <c r="F1824" s="16" t="s">
        <v>5817</v>
      </c>
      <c r="G1824" s="14" t="s">
        <v>7401</v>
      </c>
      <c r="H1824" s="11"/>
      <c r="I1824" s="12">
        <v>86</v>
      </c>
      <c r="J1824" s="12">
        <v>70</v>
      </c>
      <c r="K1824" s="13" t="str">
        <f t="shared" si="385"/>
        <v>Twitter Web Client</v>
      </c>
      <c r="L1824" s="12">
        <v>17202</v>
      </c>
      <c r="M1824" s="12">
        <v>1671</v>
      </c>
      <c r="N1824" s="12">
        <v>224</v>
      </c>
      <c r="O1824" s="15"/>
      <c r="P1824" s="6">
        <v>40270.424050925925</v>
      </c>
      <c r="Q1824" s="16" t="s">
        <v>28</v>
      </c>
      <c r="R1824" s="17" t="s">
        <v>5944</v>
      </c>
      <c r="S1824" s="14" t="s">
        <v>5945</v>
      </c>
      <c r="T1824" s="11"/>
      <c r="U1824" s="10" t="str">
        <f>HYPERLINK("https://pbs.twimg.com/profile_images/672469994240897024/f5hC4kMp.png","View")</f>
        <v>View</v>
      </c>
    </row>
    <row r="1825" spans="1:21" ht="20.399999999999999">
      <c r="A1825" s="6">
        <v>43425.139039351852</v>
      </c>
      <c r="B1825" s="7" t="str">
        <f>HYPERLINK("https://twitter.com/6518J","@6518J")</f>
        <v>@6518J</v>
      </c>
      <c r="C1825" s="8" t="s">
        <v>7402</v>
      </c>
      <c r="D1825" s="9" t="s">
        <v>7403</v>
      </c>
      <c r="E1825" s="10" t="str">
        <f>HYPERLINK("https://twitter.com/6518J/status/1065203220862156801","1065203220862156801")</f>
        <v>1065203220862156801</v>
      </c>
      <c r="F1825" s="14" t="s">
        <v>7404</v>
      </c>
      <c r="G1825" s="11"/>
      <c r="H1825" s="11"/>
      <c r="I1825" s="12">
        <v>1</v>
      </c>
      <c r="J1825" s="12">
        <v>3</v>
      </c>
      <c r="K1825" s="13" t="str">
        <f>HYPERLINK("http://twitter.com/download/android","Twitter for Android")</f>
        <v>Twitter for Android</v>
      </c>
      <c r="L1825" s="12">
        <v>49</v>
      </c>
      <c r="M1825" s="12">
        <v>73</v>
      </c>
      <c r="N1825" s="12">
        <v>0</v>
      </c>
      <c r="O1825" s="15"/>
      <c r="P1825" s="6">
        <v>43401.177523148144</v>
      </c>
      <c r="Q1825" s="11"/>
      <c r="R1825" s="19"/>
      <c r="S1825" s="11"/>
      <c r="T1825" s="11"/>
      <c r="U1825" s="10" t="str">
        <f>HYPERLINK("https://pbs.twimg.com/profile_images/1062790984357027841/KY00VPFo.jpg","View")</f>
        <v>View</v>
      </c>
    </row>
    <row r="1826" spans="1:21" ht="40.799999999999997">
      <c r="A1826" s="6">
        <v>43425.137326388889</v>
      </c>
      <c r="B1826" s="7" t="str">
        <f>HYPERLINK("https://twitter.com/valesia2","@valesia2")</f>
        <v>@valesia2</v>
      </c>
      <c r="C1826" s="8" t="s">
        <v>1706</v>
      </c>
      <c r="D1826" s="9" t="s">
        <v>7405</v>
      </c>
      <c r="E1826" s="10" t="str">
        <f>HYPERLINK("https://twitter.com/valesia2/status/1065202600012914693","1065202600012914693")</f>
        <v>1065202600012914693</v>
      </c>
      <c r="F1826" s="14" t="s">
        <v>7406</v>
      </c>
      <c r="G1826" s="11"/>
      <c r="H1826" s="11"/>
      <c r="I1826" s="12">
        <v>0</v>
      </c>
      <c r="J1826" s="12">
        <v>0</v>
      </c>
      <c r="K1826" s="13" t="str">
        <f>HYPERLINK("http://twitter.com","Twitter Web Client")</f>
        <v>Twitter Web Client</v>
      </c>
      <c r="L1826" s="12">
        <v>1576</v>
      </c>
      <c r="M1826" s="12">
        <v>1501</v>
      </c>
      <c r="N1826" s="12">
        <v>5</v>
      </c>
      <c r="O1826" s="15"/>
      <c r="P1826" s="6">
        <v>40495.470358796294</v>
      </c>
      <c r="Q1826" s="11"/>
      <c r="R1826" s="17" t="s">
        <v>1709</v>
      </c>
      <c r="S1826" s="11"/>
      <c r="T1826" s="11"/>
      <c r="U1826" s="10" t="str">
        <f>HYPERLINK("https://pbs.twimg.com/profile_images/959426220663496704/2x1GnkHD.jpg","View")</f>
        <v>View</v>
      </c>
    </row>
    <row r="1827" spans="1:21" ht="13.2">
      <c r="A1827" s="6">
        <v>43425.136307870373</v>
      </c>
      <c r="B1827" s="7" t="str">
        <f>HYPERLINK("https://twitter.com/botin_elfari","@botin_elfari")</f>
        <v>@botin_elfari</v>
      </c>
      <c r="C1827" s="8" t="s">
        <v>7407</v>
      </c>
      <c r="D1827" s="9" t="s">
        <v>6996</v>
      </c>
      <c r="E1827" s="10" t="str">
        <f>HYPERLINK("https://twitter.com/botin_elfari/status/1065202234840006658","1065202234840006658")</f>
        <v>1065202234840006658</v>
      </c>
      <c r="F1827" s="14" t="s">
        <v>7408</v>
      </c>
      <c r="G1827" s="11"/>
      <c r="H1827" s="11"/>
      <c r="I1827" s="12">
        <v>0</v>
      </c>
      <c r="J1827" s="12">
        <v>0</v>
      </c>
      <c r="K1827" s="13" t="str">
        <f>HYPERLINK("http://twitter.com/download/android","Twitter for Android")</f>
        <v>Twitter for Android</v>
      </c>
      <c r="L1827" s="12">
        <v>41</v>
      </c>
      <c r="M1827" s="12">
        <v>41</v>
      </c>
      <c r="N1827" s="12">
        <v>0</v>
      </c>
      <c r="O1827" s="15"/>
      <c r="P1827" s="6">
        <v>42993.520208333328</v>
      </c>
      <c r="Q1827" s="16" t="s">
        <v>7409</v>
      </c>
      <c r="R1827" s="17" t="s">
        <v>7410</v>
      </c>
      <c r="S1827" s="11"/>
      <c r="T1827" s="11"/>
      <c r="U1827" s="10" t="str">
        <f>HYPERLINK("https://pbs.twimg.com/profile_images/996775288506863616/MBjLPBa9.jpg","View")</f>
        <v>View</v>
      </c>
    </row>
    <row r="1828" spans="1:21" ht="20.399999999999999">
      <c r="A1828" s="6">
        <v>43425.13318287037</v>
      </c>
      <c r="B1828" s="7" t="str">
        <f>HYPERLINK("https://twitter.com/juvini100","@juvini100")</f>
        <v>@juvini100</v>
      </c>
      <c r="C1828" s="8" t="s">
        <v>7411</v>
      </c>
      <c r="D1828" s="9" t="s">
        <v>7189</v>
      </c>
      <c r="E1828" s="10" t="str">
        <f>HYPERLINK("https://twitter.com/juvini100/status/1065201100209426437","1065201100209426437")</f>
        <v>1065201100209426437</v>
      </c>
      <c r="F1828" s="14" t="s">
        <v>4200</v>
      </c>
      <c r="G1828" s="11"/>
      <c r="H1828" s="11"/>
      <c r="I1828" s="12">
        <v>0</v>
      </c>
      <c r="J1828" s="12">
        <v>0</v>
      </c>
      <c r="K1828" s="13" t="str">
        <f t="shared" ref="K1828:K1831" si="386">HYPERLINK("http://twitter.com","Twitter Web Client")</f>
        <v>Twitter Web Client</v>
      </c>
      <c r="L1828" s="12">
        <v>1248</v>
      </c>
      <c r="M1828" s="12">
        <v>4270</v>
      </c>
      <c r="N1828" s="12">
        <v>2</v>
      </c>
      <c r="O1828" s="15"/>
      <c r="P1828" s="6">
        <v>41780.099074074074</v>
      </c>
      <c r="Q1828" s="11"/>
      <c r="R1828" s="17" t="s">
        <v>7412</v>
      </c>
      <c r="S1828" s="11"/>
      <c r="T1828" s="11"/>
      <c r="U1828" s="10" t="str">
        <f>HYPERLINK("https://pbs.twimg.com/profile_images/1060850438050856962/28V9mRmA.jpg","View")</f>
        <v>View</v>
      </c>
    </row>
    <row r="1829" spans="1:21" ht="40.799999999999997">
      <c r="A1829" s="6">
        <v>43425.132337962961</v>
      </c>
      <c r="B1829" s="7" t="str">
        <f>HYPERLINK("https://twitter.com/Jorcaina01Jose","@Jorcaina01Jose")</f>
        <v>@Jorcaina01Jose</v>
      </c>
      <c r="C1829" s="8" t="s">
        <v>4169</v>
      </c>
      <c r="D1829" s="9" t="s">
        <v>4251</v>
      </c>
      <c r="E1829" s="10" t="str">
        <f>HYPERLINK("https://twitter.com/Jorcaina01Jose/status/1065200793974902785","1065200793974902785")</f>
        <v>1065200793974902785</v>
      </c>
      <c r="F1829" s="11"/>
      <c r="G1829" s="14" t="s">
        <v>4252</v>
      </c>
      <c r="H1829" s="11"/>
      <c r="I1829" s="12">
        <v>0</v>
      </c>
      <c r="J1829" s="12">
        <v>1</v>
      </c>
      <c r="K1829" s="13" t="str">
        <f t="shared" si="386"/>
        <v>Twitter Web Client</v>
      </c>
      <c r="L1829" s="12">
        <v>33</v>
      </c>
      <c r="M1829" s="12">
        <v>256</v>
      </c>
      <c r="N1829" s="12">
        <v>0</v>
      </c>
      <c r="O1829" s="15"/>
      <c r="P1829" s="6">
        <v>41044.623726851853</v>
      </c>
      <c r="Q1829" s="16" t="s">
        <v>4173</v>
      </c>
      <c r="R1829" s="17" t="s">
        <v>4174</v>
      </c>
      <c r="S1829" s="11"/>
      <c r="T1829" s="11"/>
      <c r="U1829" s="10" t="str">
        <f>HYPERLINK("https://pbs.twimg.com/profile_images/873419941818621952/dFCZ_5XL.jpg","View")</f>
        <v>View</v>
      </c>
    </row>
    <row r="1830" spans="1:21" ht="102">
      <c r="A1830" s="6">
        <v>43425.13008101852</v>
      </c>
      <c r="B1830" s="7" t="str">
        <f>HYPERLINK("https://twitter.com/Juancasadoo","@Juancasadoo")</f>
        <v>@Juancasadoo</v>
      </c>
      <c r="C1830" s="8" t="s">
        <v>4253</v>
      </c>
      <c r="D1830" s="9" t="s">
        <v>4254</v>
      </c>
      <c r="E1830" s="10" t="str">
        <f>HYPERLINK("https://twitter.com/Juancasadoo/status/1065199974827339777","1065199974827339777")</f>
        <v>1065199974827339777</v>
      </c>
      <c r="F1830" s="14" t="s">
        <v>4257</v>
      </c>
      <c r="G1830" s="14" t="s">
        <v>4258</v>
      </c>
      <c r="H1830" s="11"/>
      <c r="I1830" s="12">
        <v>1</v>
      </c>
      <c r="J1830" s="12">
        <v>1</v>
      </c>
      <c r="K1830" s="13" t="str">
        <f t="shared" si="386"/>
        <v>Twitter Web Client</v>
      </c>
      <c r="L1830" s="12">
        <v>2047</v>
      </c>
      <c r="M1830" s="12">
        <v>1603</v>
      </c>
      <c r="N1830" s="12">
        <v>31</v>
      </c>
      <c r="O1830" s="15"/>
      <c r="P1830" s="6">
        <v>41338.056898148148</v>
      </c>
      <c r="Q1830" s="16" t="s">
        <v>256</v>
      </c>
      <c r="R1830" s="17" t="s">
        <v>4260</v>
      </c>
      <c r="S1830" s="14" t="s">
        <v>4261</v>
      </c>
      <c r="T1830" s="11"/>
      <c r="U1830" s="10" t="str">
        <f>HYPERLINK("https://pbs.twimg.com/profile_images/790846287813935104/gz8Zcil7.jpg","View")</f>
        <v>View</v>
      </c>
    </row>
    <row r="1831" spans="1:21" ht="51">
      <c r="A1831" s="6">
        <v>43425.129930555559</v>
      </c>
      <c r="B1831" s="7" t="str">
        <f>HYPERLINK("https://twitter.com/GranCanariaTv","@GranCanariaTv")</f>
        <v>@GranCanariaTv</v>
      </c>
      <c r="C1831" s="8" t="s">
        <v>5978</v>
      </c>
      <c r="D1831" s="9" t="s">
        <v>7413</v>
      </c>
      <c r="E1831" s="10" t="str">
        <f>HYPERLINK("https://twitter.com/GranCanariaTv/status/1065199922264371200","1065199922264371200")</f>
        <v>1065199922264371200</v>
      </c>
      <c r="F1831" s="14" t="s">
        <v>6528</v>
      </c>
      <c r="G1831" s="11"/>
      <c r="H1831" s="11"/>
      <c r="I1831" s="12">
        <v>0</v>
      </c>
      <c r="J1831" s="12">
        <v>2</v>
      </c>
      <c r="K1831" s="13" t="str">
        <f t="shared" si="386"/>
        <v>Twitter Web Client</v>
      </c>
      <c r="L1831" s="12">
        <v>5000</v>
      </c>
      <c r="M1831" s="12">
        <v>3356</v>
      </c>
      <c r="N1831" s="12">
        <v>99</v>
      </c>
      <c r="O1831" s="15"/>
      <c r="P1831" s="6">
        <v>40504.614155092597</v>
      </c>
      <c r="Q1831" s="16" t="s">
        <v>2190</v>
      </c>
      <c r="R1831" s="17" t="s">
        <v>5981</v>
      </c>
      <c r="S1831" s="14" t="s">
        <v>5982</v>
      </c>
      <c r="T1831" s="11"/>
      <c r="U1831" s="10" t="str">
        <f>HYPERLINK("https://pbs.twimg.com/profile_images/728335785527758848/RP6AGTBc.jpg","View")</f>
        <v>View</v>
      </c>
    </row>
    <row r="1832" spans="1:21" ht="20.399999999999999">
      <c r="A1832" s="6">
        <v>43425.128645833334</v>
      </c>
      <c r="B1832" s="7" t="str">
        <f>HYPERLINK("https://twitter.com/_A_Zero","@_A_Zero")</f>
        <v>@_A_Zero</v>
      </c>
      <c r="C1832" s="8" t="s">
        <v>142</v>
      </c>
      <c r="D1832" s="9" t="s">
        <v>7414</v>
      </c>
      <c r="E1832" s="10" t="str">
        <f>HYPERLINK("https://twitter.com/_A_Zero/status/1065199456491053056","1065199456491053056")</f>
        <v>1065199456491053056</v>
      </c>
      <c r="F1832" s="11"/>
      <c r="G1832" s="14" t="s">
        <v>7209</v>
      </c>
      <c r="H1832" s="11"/>
      <c r="I1832" s="12">
        <v>161</v>
      </c>
      <c r="J1832" s="12">
        <v>120</v>
      </c>
      <c r="K1832" s="13" t="str">
        <f>HYPERLINK("http://twitter.com/download/android","Twitter for Android")</f>
        <v>Twitter for Android</v>
      </c>
      <c r="L1832" s="12">
        <v>2712</v>
      </c>
      <c r="M1832" s="12">
        <v>4964</v>
      </c>
      <c r="N1832" s="12">
        <v>4</v>
      </c>
      <c r="O1832" s="15"/>
      <c r="P1832" s="6">
        <v>42905.019884259258</v>
      </c>
      <c r="Q1832" s="16" t="s">
        <v>28</v>
      </c>
      <c r="R1832" s="17" t="s">
        <v>147</v>
      </c>
      <c r="S1832" s="11"/>
      <c r="T1832" s="11"/>
      <c r="U1832" s="10" t="str">
        <f>HYPERLINK("https://pbs.twimg.com/profile_images/1063889902285275141/AleiP71Z.jpg","View")</f>
        <v>View</v>
      </c>
    </row>
    <row r="1833" spans="1:21" ht="30.6">
      <c r="A1833" s="6">
        <v>43425.127546296295</v>
      </c>
      <c r="B1833" s="7" t="str">
        <f>HYPERLINK("https://twitter.com/leonx_10","@leonx_10")</f>
        <v>@leonx_10</v>
      </c>
      <c r="C1833" s="8" t="s">
        <v>7415</v>
      </c>
      <c r="D1833" s="9" t="s">
        <v>7416</v>
      </c>
      <c r="E1833" s="10" t="str">
        <f>HYPERLINK("https://twitter.com/leonx_10/status/1065199058908839936","1065199058908839936")</f>
        <v>1065199058908839936</v>
      </c>
      <c r="F1833" s="11"/>
      <c r="G1833" s="11"/>
      <c r="H1833" s="11"/>
      <c r="I1833" s="12">
        <v>0</v>
      </c>
      <c r="J1833" s="12">
        <v>3</v>
      </c>
      <c r="K1833" s="13" t="str">
        <f>HYPERLINK("http://twitter.com","Twitter Web Client")</f>
        <v>Twitter Web Client</v>
      </c>
      <c r="L1833" s="12">
        <v>786</v>
      </c>
      <c r="M1833" s="12">
        <v>639</v>
      </c>
      <c r="N1833" s="12">
        <v>1</v>
      </c>
      <c r="O1833" s="15"/>
      <c r="P1833" s="6">
        <v>40371.67150462963</v>
      </c>
      <c r="Q1833" s="16" t="s">
        <v>7417</v>
      </c>
      <c r="R1833" s="17" t="s">
        <v>7418</v>
      </c>
      <c r="S1833" s="14" t="s">
        <v>7419</v>
      </c>
      <c r="T1833" s="11"/>
      <c r="U1833" s="10" t="str">
        <f>HYPERLINK("https://pbs.twimg.com/profile_images/700884048462352384/MlSoIThV.jpg","View")</f>
        <v>View</v>
      </c>
    </row>
    <row r="1834" spans="1:21" ht="51">
      <c r="A1834" s="6">
        <v>43425.126388888893</v>
      </c>
      <c r="B1834" s="7" t="str">
        <f t="shared" ref="B1834:B1835" si="387">HYPERLINK("https://twitter.com/bitMomentum","@bitMomentum")</f>
        <v>@bitMomentum</v>
      </c>
      <c r="C1834" s="8" t="s">
        <v>1033</v>
      </c>
      <c r="D1834" s="9" t="s">
        <v>4262</v>
      </c>
      <c r="E1834" s="10" t="str">
        <f>HYPERLINK("https://twitter.com/bitMomentum/status/1065198637171556352","1065198637171556352")</f>
        <v>1065198637171556352</v>
      </c>
      <c r="F1834" s="11"/>
      <c r="G1834" s="11"/>
      <c r="H1834" s="11"/>
      <c r="I1834" s="12">
        <v>0</v>
      </c>
      <c r="J1834" s="12">
        <v>0</v>
      </c>
      <c r="K1834" s="13" t="str">
        <f t="shared" ref="K1834:K1835" si="388">HYPERLINK("http://www.bitmomentum.com","bitMomentum Bot")</f>
        <v>bitMomentum Bot</v>
      </c>
      <c r="L1834" s="12">
        <v>10132</v>
      </c>
      <c r="M1834" s="12">
        <v>1060</v>
      </c>
      <c r="N1834" s="12">
        <v>267</v>
      </c>
      <c r="O1834" s="15"/>
      <c r="P1834" s="6">
        <v>41608.292511574073</v>
      </c>
      <c r="Q1834" s="11"/>
      <c r="R1834" s="17" t="s">
        <v>1038</v>
      </c>
      <c r="S1834" s="14" t="s">
        <v>1039</v>
      </c>
      <c r="T1834" s="11"/>
      <c r="U1834" s="10" t="str">
        <f t="shared" ref="U1834:U1835" si="389">HYPERLINK("https://pbs.twimg.com/profile_images/378800000862185241/20ij2H3u.png","View")</f>
        <v>View</v>
      </c>
    </row>
    <row r="1835" spans="1:21" ht="51">
      <c r="A1835" s="6">
        <v>43425.125694444447</v>
      </c>
      <c r="B1835" s="7" t="str">
        <f t="shared" si="387"/>
        <v>@bitMomentum</v>
      </c>
      <c r="C1835" s="8" t="s">
        <v>1033</v>
      </c>
      <c r="D1835" s="9" t="s">
        <v>4263</v>
      </c>
      <c r="E1835" s="10" t="str">
        <f>HYPERLINK("https://twitter.com/bitMomentum/status/1065198385605398530","1065198385605398530")</f>
        <v>1065198385605398530</v>
      </c>
      <c r="F1835" s="11"/>
      <c r="G1835" s="11"/>
      <c r="H1835" s="11"/>
      <c r="I1835" s="12">
        <v>0</v>
      </c>
      <c r="J1835" s="12">
        <v>1</v>
      </c>
      <c r="K1835" s="13" t="str">
        <f t="shared" si="388"/>
        <v>bitMomentum Bot</v>
      </c>
      <c r="L1835" s="12">
        <v>10132</v>
      </c>
      <c r="M1835" s="12">
        <v>1060</v>
      </c>
      <c r="N1835" s="12">
        <v>267</v>
      </c>
      <c r="O1835" s="15"/>
      <c r="P1835" s="6">
        <v>41608.292511574073</v>
      </c>
      <c r="Q1835" s="11"/>
      <c r="R1835" s="17" t="s">
        <v>1038</v>
      </c>
      <c r="S1835" s="14" t="s">
        <v>1039</v>
      </c>
      <c r="T1835" s="11"/>
      <c r="U1835" s="10" t="str">
        <f t="shared" si="389"/>
        <v>View</v>
      </c>
    </row>
    <row r="1836" spans="1:21" ht="51">
      <c r="A1836" s="6">
        <v>43425.125451388885</v>
      </c>
      <c r="B1836" s="7" t="str">
        <f>HYPERLINK("https://twitter.com/HombreDCorazon","@HombreDCorazon")</f>
        <v>@HombreDCorazon</v>
      </c>
      <c r="C1836" s="8" t="s">
        <v>4267</v>
      </c>
      <c r="D1836" s="9" t="s">
        <v>4268</v>
      </c>
      <c r="E1836" s="10" t="str">
        <f>HYPERLINK("https://twitter.com/HombreDCorazon/status/1065198300058583041","1065198300058583041")</f>
        <v>1065198300058583041</v>
      </c>
      <c r="F1836" s="16" t="s">
        <v>4271</v>
      </c>
      <c r="G1836" s="11"/>
      <c r="H1836" s="11"/>
      <c r="I1836" s="12">
        <v>0</v>
      </c>
      <c r="J1836" s="12">
        <v>0</v>
      </c>
      <c r="K1836" s="13" t="str">
        <f>HYPERLINK("http://twitter.com/download/android","Twitter for Android")</f>
        <v>Twitter for Android</v>
      </c>
      <c r="L1836" s="12">
        <v>743</v>
      </c>
      <c r="M1836" s="12">
        <v>1775</v>
      </c>
      <c r="N1836" s="12">
        <v>6</v>
      </c>
      <c r="O1836" s="15"/>
      <c r="P1836" s="6">
        <v>42032.392581018517</v>
      </c>
      <c r="Q1836" s="16" t="s">
        <v>4273</v>
      </c>
      <c r="R1836" s="19"/>
      <c r="S1836" s="11"/>
      <c r="T1836" s="11"/>
      <c r="U1836" s="10" t="str">
        <f>HYPERLINK("https://pbs.twimg.com/profile_images/575330986793132033/E4m8quzw.jpeg","View")</f>
        <v>View</v>
      </c>
    </row>
    <row r="1837" spans="1:21" ht="51">
      <c r="A1837" s="6">
        <v>43425.119490740741</v>
      </c>
      <c r="B1837" s="7" t="str">
        <f>HYPERLINK("https://twitter.com/CAONGD","@CAONGD")</f>
        <v>@CAONGD</v>
      </c>
      <c r="C1837" s="8" t="s">
        <v>4275</v>
      </c>
      <c r="D1837" s="9" t="s">
        <v>4276</v>
      </c>
      <c r="E1837" s="10" t="str">
        <f>HYPERLINK("https://twitter.com/CAONGD/status/1065196138310045696","1065196138310045696")</f>
        <v>1065196138310045696</v>
      </c>
      <c r="F1837" s="14" t="s">
        <v>4277</v>
      </c>
      <c r="G1837" s="14" t="s">
        <v>4278</v>
      </c>
      <c r="H1837" s="11"/>
      <c r="I1837" s="12">
        <v>4</v>
      </c>
      <c r="J1837" s="12">
        <v>3</v>
      </c>
      <c r="K1837" s="13" t="str">
        <f>HYPERLINK("http://twitter.com","Twitter Web Client")</f>
        <v>Twitter Web Client</v>
      </c>
      <c r="L1837" s="12">
        <v>2663</v>
      </c>
      <c r="M1837" s="12">
        <v>724</v>
      </c>
      <c r="N1837" s="12">
        <v>163</v>
      </c>
      <c r="O1837" s="15"/>
      <c r="P1837" s="6">
        <v>41037.160104166665</v>
      </c>
      <c r="Q1837" s="16" t="s">
        <v>502</v>
      </c>
      <c r="R1837" s="17" t="s">
        <v>4280</v>
      </c>
      <c r="S1837" s="14" t="s">
        <v>4281</v>
      </c>
      <c r="T1837" s="11"/>
      <c r="U1837" s="10" t="str">
        <f>HYPERLINK("https://pbs.twimg.com/profile_images/905852479576924160/r3IQ3_Hz.jpg","View")</f>
        <v>View</v>
      </c>
    </row>
    <row r="1838" spans="1:21" ht="20.399999999999999">
      <c r="A1838" s="6">
        <v>43425.119108796294</v>
      </c>
      <c r="B1838" s="7" t="str">
        <f>HYPERLINK("https://twitter.com/jalocu1960","@jalocu1960")</f>
        <v>@jalocu1960</v>
      </c>
      <c r="C1838" s="8" t="s">
        <v>7420</v>
      </c>
      <c r="D1838" s="9" t="s">
        <v>5998</v>
      </c>
      <c r="E1838" s="10" t="str">
        <f>HYPERLINK("https://twitter.com/jalocu1960/status/1065195999629635585","1065195999629635585")</f>
        <v>1065195999629635585</v>
      </c>
      <c r="F1838" s="14" t="s">
        <v>5999</v>
      </c>
      <c r="G1838" s="11"/>
      <c r="H1838" s="11"/>
      <c r="I1838" s="12">
        <v>4</v>
      </c>
      <c r="J1838" s="12">
        <v>3</v>
      </c>
      <c r="K1838" s="13" t="str">
        <f>HYPERLINK("http://twitter.com/download/android","Twitter for Android")</f>
        <v>Twitter for Android</v>
      </c>
      <c r="L1838" s="12">
        <v>11566</v>
      </c>
      <c r="M1838" s="12">
        <v>11536</v>
      </c>
      <c r="N1838" s="12">
        <v>40</v>
      </c>
      <c r="O1838" s="15"/>
      <c r="P1838" s="6">
        <v>41483.653831018521</v>
      </c>
      <c r="Q1838" s="16" t="s">
        <v>2686</v>
      </c>
      <c r="R1838" s="19"/>
      <c r="S1838" s="11"/>
      <c r="T1838" s="11"/>
      <c r="U1838" s="10" t="str">
        <f>HYPERLINK("https://pbs.twimg.com/profile_images/648083291829047296/cI2DqGr_.jpg","View")</f>
        <v>View</v>
      </c>
    </row>
    <row r="1839" spans="1:21" ht="40.799999999999997">
      <c r="A1839" s="6">
        <v>43425.118449074071</v>
      </c>
      <c r="B1839" s="7" t="str">
        <f t="shared" ref="B1839:B1840" si="390">HYPERLINK("https://twitter.com/MONTESQUIEU1956","@MONTESQUIEU1956")</f>
        <v>@MONTESQUIEU1956</v>
      </c>
      <c r="C1839" s="8" t="s">
        <v>7421</v>
      </c>
      <c r="D1839" s="9" t="s">
        <v>7189</v>
      </c>
      <c r="E1839" s="10" t="str">
        <f>HYPERLINK("https://twitter.com/MONTESQUIEU1956/status/1065195762240446464","1065195762240446464")</f>
        <v>1065195762240446464</v>
      </c>
      <c r="F1839" s="14" t="s">
        <v>4200</v>
      </c>
      <c r="G1839" s="11"/>
      <c r="H1839" s="11"/>
      <c r="I1839" s="12">
        <v>0</v>
      </c>
      <c r="J1839" s="12">
        <v>0</v>
      </c>
      <c r="K1839" s="13" t="str">
        <f>HYPERLINK("http://twitter.com","Twitter Web Client")</f>
        <v>Twitter Web Client</v>
      </c>
      <c r="L1839" s="12">
        <v>17002</v>
      </c>
      <c r="M1839" s="12">
        <v>18432</v>
      </c>
      <c r="N1839" s="12">
        <v>498</v>
      </c>
      <c r="O1839" s="15"/>
      <c r="P1839" s="6">
        <v>40349.451168981483</v>
      </c>
      <c r="Q1839" s="16" t="s">
        <v>7422</v>
      </c>
      <c r="R1839" s="17" t="s">
        <v>7423</v>
      </c>
      <c r="S1839" s="14" t="s">
        <v>7424</v>
      </c>
      <c r="T1839" s="11"/>
      <c r="U1839" s="10" t="str">
        <f t="shared" ref="U1839:U1840" si="391">HYPERLINK("https://pbs.twimg.com/profile_images/1261600286/MONTESQUIEU.jpg","View")</f>
        <v>View</v>
      </c>
    </row>
    <row r="1840" spans="1:21" ht="40.799999999999997">
      <c r="A1840" s="6">
        <v>43425.118287037039</v>
      </c>
      <c r="B1840" s="7" t="str">
        <f t="shared" si="390"/>
        <v>@MONTESQUIEU1956</v>
      </c>
      <c r="C1840" s="8" t="s">
        <v>7421</v>
      </c>
      <c r="D1840" s="9" t="s">
        <v>6996</v>
      </c>
      <c r="E1840" s="10" t="str">
        <f>HYPERLINK("https://twitter.com/MONTESQUIEU1956/status/1065195702622609408","1065195702622609408")</f>
        <v>1065195702622609408</v>
      </c>
      <c r="F1840" s="14" t="s">
        <v>4200</v>
      </c>
      <c r="G1840" s="11"/>
      <c r="H1840" s="11"/>
      <c r="I1840" s="12">
        <v>0</v>
      </c>
      <c r="J1840" s="12">
        <v>0</v>
      </c>
      <c r="K1840" s="13" t="str">
        <f>HYPERLINK("http://www.facebook.com/twitter","Facebook")</f>
        <v>Facebook</v>
      </c>
      <c r="L1840" s="12">
        <v>17002</v>
      </c>
      <c r="M1840" s="12">
        <v>18432</v>
      </c>
      <c r="N1840" s="12">
        <v>498</v>
      </c>
      <c r="O1840" s="15"/>
      <c r="P1840" s="6">
        <v>40349.451168981483</v>
      </c>
      <c r="Q1840" s="16" t="s">
        <v>7422</v>
      </c>
      <c r="R1840" s="17" t="s">
        <v>7423</v>
      </c>
      <c r="S1840" s="14" t="s">
        <v>7424</v>
      </c>
      <c r="T1840" s="11"/>
      <c r="U1840" s="10" t="str">
        <f t="shared" si="391"/>
        <v>View</v>
      </c>
    </row>
    <row r="1841" spans="1:21" ht="51">
      <c r="A1841" s="6">
        <v>43425.117395833338</v>
      </c>
      <c r="B1841" s="7" t="str">
        <f>HYPERLINK("https://twitter.com/Wertyalord1","@Wertyalord1")</f>
        <v>@Wertyalord1</v>
      </c>
      <c r="C1841" s="8" t="s">
        <v>7425</v>
      </c>
      <c r="D1841" s="9" t="s">
        <v>7426</v>
      </c>
      <c r="E1841" s="10" t="str">
        <f>HYPERLINK("https://twitter.com/Wertyalord1/status/1065195377593331714","1065195377593331714")</f>
        <v>1065195377593331714</v>
      </c>
      <c r="F1841" s="11"/>
      <c r="G1841" s="11"/>
      <c r="H1841" s="11"/>
      <c r="I1841" s="12">
        <v>1</v>
      </c>
      <c r="J1841" s="12">
        <v>1</v>
      </c>
      <c r="K1841" s="13" t="str">
        <f t="shared" ref="K1841:K1842" si="392">HYPERLINK("http://twitter.com/download/android","Twitter for Android")</f>
        <v>Twitter for Android</v>
      </c>
      <c r="L1841" s="12">
        <v>4591</v>
      </c>
      <c r="M1841" s="12">
        <v>3215</v>
      </c>
      <c r="N1841" s="12">
        <v>102</v>
      </c>
      <c r="O1841" s="15"/>
      <c r="P1841" s="6">
        <v>41363.156180555554</v>
      </c>
      <c r="Q1841" s="16" t="s">
        <v>7427</v>
      </c>
      <c r="R1841" s="17" t="s">
        <v>7428</v>
      </c>
      <c r="S1841" s="11"/>
      <c r="T1841" s="11"/>
      <c r="U1841" s="10" t="str">
        <f>HYPERLINK("https://pbs.twimg.com/profile_images/1003671021361205249/sAzGWgYk.jpg","View")</f>
        <v>View</v>
      </c>
    </row>
    <row r="1842" spans="1:21" ht="51">
      <c r="A1842" s="6">
        <v>43425.114479166667</v>
      </c>
      <c r="B1842" s="7" t="str">
        <f>HYPERLINK("https://twitter.com/aljomaes2010","@aljomaes2010")</f>
        <v>@aljomaes2010</v>
      </c>
      <c r="C1842" s="8" t="s">
        <v>4282</v>
      </c>
      <c r="D1842" s="9" t="s">
        <v>4283</v>
      </c>
      <c r="E1842" s="10" t="str">
        <f>HYPERLINK("https://twitter.com/aljomaes2010/status/1065194324172906497","1065194324172906497")</f>
        <v>1065194324172906497</v>
      </c>
      <c r="F1842" s="11"/>
      <c r="G1842" s="14" t="s">
        <v>4284</v>
      </c>
      <c r="H1842" s="11"/>
      <c r="I1842" s="12">
        <v>0</v>
      </c>
      <c r="J1842" s="12">
        <v>0</v>
      </c>
      <c r="K1842" s="13" t="str">
        <f t="shared" si="392"/>
        <v>Twitter for Android</v>
      </c>
      <c r="L1842" s="12">
        <v>371</v>
      </c>
      <c r="M1842" s="12">
        <v>754</v>
      </c>
      <c r="N1842" s="12">
        <v>12</v>
      </c>
      <c r="O1842" s="15"/>
      <c r="P1842" s="6">
        <v>40477.026377314818</v>
      </c>
      <c r="Q1842" s="11"/>
      <c r="R1842" s="17" t="s">
        <v>4285</v>
      </c>
      <c r="S1842" s="11"/>
      <c r="T1842" s="11"/>
      <c r="U1842" s="10" t="str">
        <f>HYPERLINK("https://pbs.twimg.com/profile_images/950266315587059712/cbDYvqsD.jpg","View")</f>
        <v>View</v>
      </c>
    </row>
    <row r="1843" spans="1:21" ht="51">
      <c r="A1843" s="6">
        <v>43425.112453703703</v>
      </c>
      <c r="B1843" s="7" t="str">
        <f>HYPERLINK("https://twitter.com/uve1789","@uve1789")</f>
        <v>@uve1789</v>
      </c>
      <c r="C1843" s="8" t="s">
        <v>4286</v>
      </c>
      <c r="D1843" s="9" t="s">
        <v>4287</v>
      </c>
      <c r="E1843" s="10" t="str">
        <f>HYPERLINK("https://twitter.com/uve1789/status/1065193588152242176","1065193588152242176")</f>
        <v>1065193588152242176</v>
      </c>
      <c r="F1843" s="11"/>
      <c r="G1843" s="11"/>
      <c r="H1843" s="11"/>
      <c r="I1843" s="12">
        <v>0</v>
      </c>
      <c r="J1843" s="12">
        <v>0</v>
      </c>
      <c r="K1843" s="13" t="str">
        <f>HYPERLINK("http://twitter.com/download/iphone","Twitter for iPhone")</f>
        <v>Twitter for iPhone</v>
      </c>
      <c r="L1843" s="12">
        <v>939</v>
      </c>
      <c r="M1843" s="12">
        <v>588</v>
      </c>
      <c r="N1843" s="12">
        <v>17</v>
      </c>
      <c r="O1843" s="15"/>
      <c r="P1843" s="6">
        <v>39923.745972222227</v>
      </c>
      <c r="Q1843" s="16" t="s">
        <v>4289</v>
      </c>
      <c r="R1843" s="17" t="s">
        <v>4290</v>
      </c>
      <c r="S1843" s="11"/>
      <c r="T1843" s="11"/>
      <c r="U1843" s="10" t="str">
        <f>HYPERLINK("https://pbs.twimg.com/profile_images/806821158016479232/ahHzpfsA.jpg","View")</f>
        <v>View</v>
      </c>
    </row>
    <row r="1844" spans="1:21" ht="40.799999999999997">
      <c r="A1844" s="6">
        <v>43425.111296296294</v>
      </c>
      <c r="B1844" s="7" t="str">
        <f>HYPERLINK("https://twitter.com/prosalus","@prosalus")</f>
        <v>@prosalus</v>
      </c>
      <c r="C1844" s="8" t="s">
        <v>4291</v>
      </c>
      <c r="D1844" s="9" t="s">
        <v>4292</v>
      </c>
      <c r="E1844" s="10" t="str">
        <f>HYPERLINK("https://twitter.com/prosalus/status/1065193170147917824","1065193170147917824")</f>
        <v>1065193170147917824</v>
      </c>
      <c r="F1844" s="14" t="s">
        <v>4294</v>
      </c>
      <c r="G1844" s="14" t="s">
        <v>4296</v>
      </c>
      <c r="H1844" s="11"/>
      <c r="I1844" s="12">
        <v>0</v>
      </c>
      <c r="J1844" s="12">
        <v>0</v>
      </c>
      <c r="K1844" s="13" t="str">
        <f t="shared" ref="K1844:K1846" si="393">HYPERLINK("http://twitter.com","Twitter Web Client")</f>
        <v>Twitter Web Client</v>
      </c>
      <c r="L1844" s="12">
        <v>7781</v>
      </c>
      <c r="M1844" s="12">
        <v>7242</v>
      </c>
      <c r="N1844" s="12">
        <v>155</v>
      </c>
      <c r="O1844" s="15"/>
      <c r="P1844" s="6">
        <v>39688.176145833335</v>
      </c>
      <c r="Q1844" s="11"/>
      <c r="R1844" s="17" t="s">
        <v>4297</v>
      </c>
      <c r="S1844" s="14" t="s">
        <v>4298</v>
      </c>
      <c r="T1844" s="11"/>
      <c r="U1844" s="10" t="str">
        <f>HYPERLINK("https://pbs.twimg.com/profile_images/591273279580741632/btZb24j7.jpg","View")</f>
        <v>View</v>
      </c>
    </row>
    <row r="1845" spans="1:21" ht="40.799999999999997">
      <c r="A1845" s="6">
        <v>43425.110798611116</v>
      </c>
      <c r="B1845" s="7" t="str">
        <f>HYPERLINK("https://twitter.com/CoordiONGD","@CoordiONGD")</f>
        <v>@CoordiONGD</v>
      </c>
      <c r="C1845" s="8" t="s">
        <v>4299</v>
      </c>
      <c r="D1845" s="9" t="s">
        <v>4300</v>
      </c>
      <c r="E1845" s="10" t="str">
        <f>HYPERLINK("https://twitter.com/CoordiONGD/status/1065192989826396161","1065192989826396161")</f>
        <v>1065192989826396161</v>
      </c>
      <c r="F1845" s="14" t="s">
        <v>4294</v>
      </c>
      <c r="G1845" s="14" t="s">
        <v>4302</v>
      </c>
      <c r="H1845" s="11"/>
      <c r="I1845" s="12">
        <v>2</v>
      </c>
      <c r="J1845" s="12">
        <v>2</v>
      </c>
      <c r="K1845" s="13" t="str">
        <f t="shared" si="393"/>
        <v>Twitter Web Client</v>
      </c>
      <c r="L1845" s="12">
        <v>32034</v>
      </c>
      <c r="M1845" s="12">
        <v>1234</v>
      </c>
      <c r="N1845" s="12">
        <v>978</v>
      </c>
      <c r="O1845" s="15"/>
      <c r="P1845" s="6">
        <v>40693.275173611109</v>
      </c>
      <c r="Q1845" s="16" t="s">
        <v>38</v>
      </c>
      <c r="R1845" s="17" t="s">
        <v>4303</v>
      </c>
      <c r="S1845" s="14" t="s">
        <v>4304</v>
      </c>
      <c r="T1845" s="11"/>
      <c r="U1845" s="10" t="str">
        <f>HYPERLINK("https://pbs.twimg.com/profile_images/890615935966609412/2ClCISPb.jpg","View")</f>
        <v>View</v>
      </c>
    </row>
    <row r="1846" spans="1:21" ht="61.2">
      <c r="A1846" s="6">
        <v>43425.109884259262</v>
      </c>
      <c r="B1846" s="7" t="str">
        <f>HYPERLINK("https://twitter.com/AsCeTaCaChoNDo","@AsCeTaCaChoNDo")</f>
        <v>@AsCeTaCaChoNDo</v>
      </c>
      <c r="C1846" s="8" t="s">
        <v>818</v>
      </c>
      <c r="D1846" s="9" t="s">
        <v>4308</v>
      </c>
      <c r="E1846" s="10" t="str">
        <f>HYPERLINK("https://twitter.com/AsCeTaCaChoNDo/status/1065192659428478976","1065192659428478976")</f>
        <v>1065192659428478976</v>
      </c>
      <c r="F1846" s="11"/>
      <c r="G1846" s="14" t="s">
        <v>4309</v>
      </c>
      <c r="H1846" s="11"/>
      <c r="I1846" s="12">
        <v>1</v>
      </c>
      <c r="J1846" s="12">
        <v>1</v>
      </c>
      <c r="K1846" s="13" t="str">
        <f t="shared" si="393"/>
        <v>Twitter Web Client</v>
      </c>
      <c r="L1846" s="12">
        <v>32</v>
      </c>
      <c r="M1846" s="12">
        <v>6</v>
      </c>
      <c r="N1846" s="12">
        <v>1</v>
      </c>
      <c r="O1846" s="15"/>
      <c r="P1846" s="6">
        <v>42894.178159722222</v>
      </c>
      <c r="Q1846" s="16" t="s">
        <v>822</v>
      </c>
      <c r="R1846" s="17" t="s">
        <v>823</v>
      </c>
      <c r="S1846" s="11"/>
      <c r="T1846" s="11"/>
      <c r="U1846" s="10" t="str">
        <f>HYPERLINK("https://pbs.twimg.com/profile_images/974912742632120320/9WrDhDqS.jpg","View")</f>
        <v>View</v>
      </c>
    </row>
    <row r="1847" spans="1:21" ht="40.799999999999997">
      <c r="A1847" s="6">
        <v>43425.109097222223</v>
      </c>
      <c r="B1847" s="7" t="str">
        <f>HYPERLINK("https://twitter.com/wesnatius","@wesnatius")</f>
        <v>@wesnatius</v>
      </c>
      <c r="C1847" s="8" t="s">
        <v>7429</v>
      </c>
      <c r="D1847" s="9" t="s">
        <v>7430</v>
      </c>
      <c r="E1847" s="10" t="str">
        <f>HYPERLINK("https://twitter.com/wesnatius/status/1065192373448257536","1065192373448257536")</f>
        <v>1065192373448257536</v>
      </c>
      <c r="F1847" s="11"/>
      <c r="G1847" s="11"/>
      <c r="H1847" s="11"/>
      <c r="I1847" s="12">
        <v>1</v>
      </c>
      <c r="J1847" s="12">
        <v>4</v>
      </c>
      <c r="K1847" s="13" t="str">
        <f>HYPERLINK("http://twitter.com/download/android","Twitter for Android")</f>
        <v>Twitter for Android</v>
      </c>
      <c r="L1847" s="12">
        <v>469</v>
      </c>
      <c r="M1847" s="12">
        <v>455</v>
      </c>
      <c r="N1847" s="12">
        <v>8</v>
      </c>
      <c r="O1847" s="15"/>
      <c r="P1847" s="6">
        <v>41012.301759259259</v>
      </c>
      <c r="Q1847" s="11"/>
      <c r="R1847" s="17" t="s">
        <v>7431</v>
      </c>
      <c r="S1847" s="11"/>
      <c r="T1847" s="11"/>
      <c r="U1847" s="10" t="str">
        <f>HYPERLINK("https://pbs.twimg.com/profile_images/648790160960843776/ux_FG9iW.jpg","View")</f>
        <v>View</v>
      </c>
    </row>
    <row r="1848" spans="1:21" ht="61.2">
      <c r="A1848" s="6">
        <v>43425.108912037038</v>
      </c>
      <c r="B1848" s="7" t="str">
        <f>HYPERLINK("https://twitter.com/FuturoEnComun","@FuturoEnComun")</f>
        <v>@FuturoEnComun</v>
      </c>
      <c r="C1848" s="8" t="s">
        <v>4310</v>
      </c>
      <c r="D1848" s="9" t="s">
        <v>4311</v>
      </c>
      <c r="E1848" s="10" t="str">
        <f>HYPERLINK("https://twitter.com/FuturoEnComun/status/1065192305982939136","1065192305982939136")</f>
        <v>1065192305982939136</v>
      </c>
      <c r="F1848" s="11"/>
      <c r="G1848" s="14" t="s">
        <v>4312</v>
      </c>
      <c r="H1848" s="11"/>
      <c r="I1848" s="12">
        <v>3</v>
      </c>
      <c r="J1848" s="12">
        <v>7</v>
      </c>
      <c r="K1848" s="13" t="str">
        <f t="shared" ref="K1848:K1849" si="394">HYPERLINK("http://twitter.com","Twitter Web Client")</f>
        <v>Twitter Web Client</v>
      </c>
      <c r="L1848" s="12">
        <v>908</v>
      </c>
      <c r="M1848" s="12">
        <v>369</v>
      </c>
      <c r="N1848" s="12">
        <v>19</v>
      </c>
      <c r="O1848" s="15"/>
      <c r="P1848" s="6">
        <v>43186.077280092592</v>
      </c>
      <c r="Q1848" s="16" t="s">
        <v>28</v>
      </c>
      <c r="R1848" s="17" t="s">
        <v>4315</v>
      </c>
      <c r="S1848" s="14" t="s">
        <v>4316</v>
      </c>
      <c r="T1848" s="11"/>
      <c r="U1848" s="10" t="str">
        <f>HYPERLINK("https://pbs.twimg.com/profile_images/999969713378783232/76uonc8P.jpg","View")</f>
        <v>View</v>
      </c>
    </row>
    <row r="1849" spans="1:21" ht="30.6">
      <c r="A1849" s="6">
        <v>43425.108819444446</v>
      </c>
      <c r="B1849" s="7" t="str">
        <f>HYPERLINK("https://twitter.com/ontibe","@ontibe")</f>
        <v>@ontibe</v>
      </c>
      <c r="C1849" s="8" t="s">
        <v>5717</v>
      </c>
      <c r="D1849" s="9" t="s">
        <v>7189</v>
      </c>
      <c r="E1849" s="10" t="str">
        <f>HYPERLINK("https://twitter.com/ontibe/status/1065192269811204096","1065192269811204096")</f>
        <v>1065192269811204096</v>
      </c>
      <c r="F1849" s="14" t="s">
        <v>4200</v>
      </c>
      <c r="G1849" s="11"/>
      <c r="H1849" s="11"/>
      <c r="I1849" s="12">
        <v>0</v>
      </c>
      <c r="J1849" s="12">
        <v>0</v>
      </c>
      <c r="K1849" s="13" t="str">
        <f t="shared" si="394"/>
        <v>Twitter Web Client</v>
      </c>
      <c r="L1849" s="12">
        <v>432</v>
      </c>
      <c r="M1849" s="12">
        <v>1265</v>
      </c>
      <c r="N1849" s="12">
        <v>1</v>
      </c>
      <c r="O1849" s="15"/>
      <c r="P1849" s="6">
        <v>40673.252766203703</v>
      </c>
      <c r="Q1849" s="16" t="s">
        <v>5718</v>
      </c>
      <c r="R1849" s="17" t="s">
        <v>5719</v>
      </c>
      <c r="S1849" s="11"/>
      <c r="T1849" s="11"/>
      <c r="U1849" s="10" t="str">
        <f>HYPERLINK("https://pbs.twimg.com/profile_images/867069058037972993/9c2-Wrp7.jpg","View")</f>
        <v>View</v>
      </c>
    </row>
    <row r="1850" spans="1:21" ht="61.2">
      <c r="A1850" s="6">
        <v>43425.10665509259</v>
      </c>
      <c r="B1850" s="7" t="str">
        <f>HYPERLINK("https://twitter.com/FreireALFONSO","@FreireALFONSO")</f>
        <v>@FreireALFONSO</v>
      </c>
      <c r="C1850" s="8" t="s">
        <v>434</v>
      </c>
      <c r="D1850" s="9" t="s">
        <v>4321</v>
      </c>
      <c r="E1850" s="10" t="str">
        <f>HYPERLINK("https://twitter.com/FreireALFONSO/status/1065191487086964736","1065191487086964736")</f>
        <v>1065191487086964736</v>
      </c>
      <c r="F1850" s="14" t="s">
        <v>4322</v>
      </c>
      <c r="G1850" s="11"/>
      <c r="H1850" s="11"/>
      <c r="I1850" s="12">
        <v>0</v>
      </c>
      <c r="J1850" s="12">
        <v>0</v>
      </c>
      <c r="K1850" s="13" t="str">
        <f>HYPERLINK("http://twitter.com/download/android","Twitter for Android")</f>
        <v>Twitter for Android</v>
      </c>
      <c r="L1850" s="12">
        <v>101</v>
      </c>
      <c r="M1850" s="12">
        <v>83</v>
      </c>
      <c r="N1850" s="12">
        <v>4</v>
      </c>
      <c r="O1850" s="15"/>
      <c r="P1850" s="6">
        <v>41195.490740740745</v>
      </c>
      <c r="Q1850" s="16" t="s">
        <v>439</v>
      </c>
      <c r="R1850" s="17" t="s">
        <v>440</v>
      </c>
      <c r="S1850" s="11"/>
      <c r="T1850" s="11"/>
      <c r="U1850" s="10" t="str">
        <f>HYPERLINK("https://pbs.twimg.com/profile_images/1040311561552887808/pTkAtlbw.jpg","View")</f>
        <v>View</v>
      </c>
    </row>
    <row r="1851" spans="1:21" ht="40.799999999999997">
      <c r="A1851" s="6">
        <v>43425.105995370366</v>
      </c>
      <c r="B1851" s="7" t="str">
        <f>HYPERLINK("https://twitter.com/clvor","@clvor")</f>
        <v>@clvor</v>
      </c>
      <c r="C1851" s="8" t="s">
        <v>7432</v>
      </c>
      <c r="D1851" s="9" t="s">
        <v>7433</v>
      </c>
      <c r="E1851" s="10" t="str">
        <f>HYPERLINK("https://twitter.com/clvor/status/1065191248603111424","1065191248603111424")</f>
        <v>1065191248603111424</v>
      </c>
      <c r="F1851" s="14" t="s">
        <v>7434</v>
      </c>
      <c r="G1851" s="11"/>
      <c r="H1851" s="11"/>
      <c r="I1851" s="12">
        <v>0</v>
      </c>
      <c r="J1851" s="12">
        <v>0</v>
      </c>
      <c r="K1851" s="13" t="str">
        <f>HYPERLINK("http://twitter.com/download/iphone","Twitter for iPhone")</f>
        <v>Twitter for iPhone</v>
      </c>
      <c r="L1851" s="12">
        <v>893</v>
      </c>
      <c r="M1851" s="12">
        <v>835</v>
      </c>
      <c r="N1851" s="12">
        <v>35</v>
      </c>
      <c r="O1851" s="15"/>
      <c r="P1851" s="6">
        <v>40815.274976851855</v>
      </c>
      <c r="Q1851" s="16" t="s">
        <v>38</v>
      </c>
      <c r="R1851" s="17" t="s">
        <v>7435</v>
      </c>
      <c r="S1851" s="11"/>
      <c r="T1851" s="11"/>
      <c r="U1851" s="10" t="str">
        <f>HYPERLINK("https://pbs.twimg.com/profile_images/1029692824625786880/x483rUvI.jpg","View")</f>
        <v>View</v>
      </c>
    </row>
    <row r="1852" spans="1:21" ht="30.6">
      <c r="A1852" s="6">
        <v>43425.105868055558</v>
      </c>
      <c r="B1852" s="7" t="str">
        <f>HYPERLINK("https://twitter.com/pacopesetin","@pacopesetin")</f>
        <v>@pacopesetin</v>
      </c>
      <c r="C1852" s="8" t="s">
        <v>7042</v>
      </c>
      <c r="D1852" s="9" t="s">
        <v>7436</v>
      </c>
      <c r="E1852" s="10" t="str">
        <f>HYPERLINK("https://twitter.com/pacopesetin/status/1065191203841421313","1065191203841421313")</f>
        <v>1065191203841421313</v>
      </c>
      <c r="F1852" s="14" t="s">
        <v>7437</v>
      </c>
      <c r="G1852" s="11"/>
      <c r="H1852" s="11"/>
      <c r="I1852" s="12">
        <v>0</v>
      </c>
      <c r="J1852" s="12">
        <v>0</v>
      </c>
      <c r="K1852" s="13" t="str">
        <f>HYPERLINK("http://www.facebook.com/twitter","Facebook")</f>
        <v>Facebook</v>
      </c>
      <c r="L1852" s="12">
        <v>908</v>
      </c>
      <c r="M1852" s="12">
        <v>2000</v>
      </c>
      <c r="N1852" s="12">
        <v>7</v>
      </c>
      <c r="O1852" s="15"/>
      <c r="P1852" s="6">
        <v>40644.560891203706</v>
      </c>
      <c r="Q1852" s="16" t="s">
        <v>7045</v>
      </c>
      <c r="R1852" s="20" t="s">
        <v>7046</v>
      </c>
      <c r="S1852" s="14" t="s">
        <v>7046</v>
      </c>
      <c r="T1852" s="11"/>
      <c r="U1852" s="10" t="str">
        <f>HYPERLINK("https://pbs.twimg.com/profile_images/669058273144762368/yLZyw1PX.jpg","View")</f>
        <v>View</v>
      </c>
    </row>
    <row r="1853" spans="1:21" ht="30.6">
      <c r="A1853" s="6">
        <v>43425.10538194445</v>
      </c>
      <c r="B1853" s="7" t="str">
        <f>HYPERLINK("https://twitter.com/elperroverde60","@elperroverde60")</f>
        <v>@elperroverde60</v>
      </c>
      <c r="C1853" s="8" t="s">
        <v>7438</v>
      </c>
      <c r="D1853" s="9" t="s">
        <v>7189</v>
      </c>
      <c r="E1853" s="10" t="str">
        <f>HYPERLINK("https://twitter.com/elperroverde60/status/1065191026590171136","1065191026590171136")</f>
        <v>1065191026590171136</v>
      </c>
      <c r="F1853" s="14" t="s">
        <v>4200</v>
      </c>
      <c r="G1853" s="11"/>
      <c r="H1853" s="11"/>
      <c r="I1853" s="12">
        <v>0</v>
      </c>
      <c r="J1853" s="12">
        <v>0</v>
      </c>
      <c r="K1853" s="13" t="str">
        <f>HYPERLINK("http://twitter.com/download/android","Twitter for Android")</f>
        <v>Twitter for Android</v>
      </c>
      <c r="L1853" s="12">
        <v>487</v>
      </c>
      <c r="M1853" s="12">
        <v>1070</v>
      </c>
      <c r="N1853" s="12">
        <v>15</v>
      </c>
      <c r="O1853" s="15"/>
      <c r="P1853" s="6">
        <v>42089.549930555557</v>
      </c>
      <c r="Q1853" s="16" t="s">
        <v>7439</v>
      </c>
      <c r="R1853" s="17" t="s">
        <v>7440</v>
      </c>
      <c r="S1853" s="14" t="s">
        <v>7441</v>
      </c>
      <c r="T1853" s="11"/>
      <c r="U1853" s="10" t="str">
        <f>HYPERLINK("https://pbs.twimg.com/profile_images/910885355607511041/DPA_yUF4.jpg","View")</f>
        <v>View</v>
      </c>
    </row>
    <row r="1854" spans="1:21" ht="40.799999999999997">
      <c r="A1854" s="6">
        <v>43425.104907407411</v>
      </c>
      <c r="B1854" s="7" t="str">
        <f>HYPERLINK("https://twitter.com/gvz1967","@gvz1967")</f>
        <v>@gvz1967</v>
      </c>
      <c r="C1854" s="8" t="s">
        <v>7442</v>
      </c>
      <c r="D1854" s="9" t="s">
        <v>7443</v>
      </c>
      <c r="E1854" s="10" t="str">
        <f>HYPERLINK("https://twitter.com/gvz1967/status/1065190853906436097","1065190853906436097")</f>
        <v>1065190853906436097</v>
      </c>
      <c r="F1854" s="14" t="s">
        <v>7408</v>
      </c>
      <c r="G1854" s="11"/>
      <c r="H1854" s="11"/>
      <c r="I1854" s="12">
        <v>0</v>
      </c>
      <c r="J1854" s="12">
        <v>0</v>
      </c>
      <c r="K1854" s="13" t="str">
        <f>HYPERLINK("http://twitter.com/download/iphone","Twitter for iPhone")</f>
        <v>Twitter for iPhone</v>
      </c>
      <c r="L1854" s="12">
        <v>967</v>
      </c>
      <c r="M1854" s="12">
        <v>1208</v>
      </c>
      <c r="N1854" s="12">
        <v>29</v>
      </c>
      <c r="O1854" s="15"/>
      <c r="P1854" s="6">
        <v>40288.530497685184</v>
      </c>
      <c r="Q1854" s="16" t="s">
        <v>38</v>
      </c>
      <c r="R1854" s="17" t="s">
        <v>7444</v>
      </c>
      <c r="S1854" s="14" t="s">
        <v>7445</v>
      </c>
      <c r="T1854" s="11"/>
      <c r="U1854" s="10" t="str">
        <f>HYPERLINK("https://pbs.twimg.com/profile_images/2315791781/image.jpg","View")</f>
        <v>View</v>
      </c>
    </row>
    <row r="1855" spans="1:21" ht="51">
      <c r="A1855" s="6">
        <v>43425.104895833334</v>
      </c>
      <c r="B1855" s="7" t="str">
        <f>HYPERLINK("https://twitter.com/pakaletes","@pakaletes")</f>
        <v>@pakaletes</v>
      </c>
      <c r="C1855" s="8" t="s">
        <v>4326</v>
      </c>
      <c r="D1855" s="9" t="s">
        <v>4327</v>
      </c>
      <c r="E1855" s="10" t="str">
        <f>HYPERLINK("https://twitter.com/pakaletes/status/1065190851058503680","1065190851058503680")</f>
        <v>1065190851058503680</v>
      </c>
      <c r="F1855" s="14" t="s">
        <v>4328</v>
      </c>
      <c r="G1855" s="11"/>
      <c r="H1855" s="11"/>
      <c r="I1855" s="12">
        <v>0</v>
      </c>
      <c r="J1855" s="12">
        <v>0</v>
      </c>
      <c r="K1855" s="13" t="str">
        <f t="shared" ref="K1855:K1856" si="395">HYPERLINK("http://twitter.com","Twitter Web Client")</f>
        <v>Twitter Web Client</v>
      </c>
      <c r="L1855" s="12">
        <v>389</v>
      </c>
      <c r="M1855" s="12">
        <v>1174</v>
      </c>
      <c r="N1855" s="12">
        <v>2</v>
      </c>
      <c r="O1855" s="15"/>
      <c r="P1855" s="6">
        <v>40461.591527777782</v>
      </c>
      <c r="Q1855" s="16" t="s">
        <v>4329</v>
      </c>
      <c r="R1855" s="19"/>
      <c r="S1855" s="14" t="s">
        <v>4330</v>
      </c>
      <c r="T1855" s="11"/>
      <c r="U1855" s="10" t="str">
        <f>HYPERLINK("https://pbs.twimg.com/profile_images/875095547060920321/keUgmUaK.jpg","View")</f>
        <v>View</v>
      </c>
    </row>
    <row r="1856" spans="1:21" ht="40.799999999999997">
      <c r="A1856" s="6">
        <v>43425.104513888888</v>
      </c>
      <c r="B1856" s="7" t="str">
        <f>HYPERLINK("https://twitter.com/cregarla","@cregarla")</f>
        <v>@cregarla</v>
      </c>
      <c r="C1856" s="8" t="s">
        <v>4331</v>
      </c>
      <c r="D1856" s="9" t="s">
        <v>4332</v>
      </c>
      <c r="E1856" s="10" t="str">
        <f>HYPERLINK("https://twitter.com/cregarla/status/1065190710910091264","1065190710910091264")</f>
        <v>1065190710910091264</v>
      </c>
      <c r="F1856" s="11"/>
      <c r="G1856" s="11"/>
      <c r="H1856" s="11"/>
      <c r="I1856" s="12">
        <v>0</v>
      </c>
      <c r="J1856" s="12">
        <v>0</v>
      </c>
      <c r="K1856" s="13" t="str">
        <f t="shared" si="395"/>
        <v>Twitter Web Client</v>
      </c>
      <c r="L1856" s="12">
        <v>1596</v>
      </c>
      <c r="M1856" s="12">
        <v>1801</v>
      </c>
      <c r="N1856" s="12">
        <v>103</v>
      </c>
      <c r="O1856" s="15"/>
      <c r="P1856" s="6">
        <v>40653.438206018516</v>
      </c>
      <c r="Q1856" s="16" t="s">
        <v>378</v>
      </c>
      <c r="R1856" s="17" t="s">
        <v>4333</v>
      </c>
      <c r="S1856" s="11"/>
      <c r="T1856" s="11"/>
      <c r="U1856" s="10" t="str">
        <f>HYPERLINK("https://pbs.twimg.com/profile_images/972088744017842181/Le9vq9WP.jpg","View")</f>
        <v>View</v>
      </c>
    </row>
    <row r="1857" spans="1:21" ht="61.2">
      <c r="A1857" s="6">
        <v>43425.104490740741</v>
      </c>
      <c r="B1857" s="7" t="str">
        <f>HYPERLINK("https://twitter.com/ixatanae","@ixatanae")</f>
        <v>@ixatanae</v>
      </c>
      <c r="C1857" s="8" t="s">
        <v>4334</v>
      </c>
      <c r="D1857" s="9" t="s">
        <v>4336</v>
      </c>
      <c r="E1857" s="10" t="str">
        <f>HYPERLINK("https://twitter.com/ixatanae/status/1065190704887025664","1065190704887025664")</f>
        <v>1065190704887025664</v>
      </c>
      <c r="F1857" s="16" t="s">
        <v>4337</v>
      </c>
      <c r="G1857" s="11"/>
      <c r="H1857" s="11"/>
      <c r="I1857" s="12">
        <v>0</v>
      </c>
      <c r="J1857" s="12">
        <v>0</v>
      </c>
      <c r="K1857" s="13" t="str">
        <f>HYPERLINK("http://twitter.com/download/android","Twitter for Android")</f>
        <v>Twitter for Android</v>
      </c>
      <c r="L1857" s="12">
        <v>58</v>
      </c>
      <c r="M1857" s="12">
        <v>343</v>
      </c>
      <c r="N1857" s="12">
        <v>2</v>
      </c>
      <c r="O1857" s="15"/>
      <c r="P1857" s="6">
        <v>41563.681284722225</v>
      </c>
      <c r="Q1857" s="11"/>
      <c r="R1857" s="19"/>
      <c r="S1857" s="11"/>
      <c r="T1857" s="11"/>
      <c r="U1857" s="10" t="str">
        <f>HYPERLINK("https://pbs.twimg.com/profile_images/417726417515081728/-Z8-Six_.jpeg","View")</f>
        <v>View</v>
      </c>
    </row>
    <row r="1858" spans="1:21" ht="30.6">
      <c r="A1858" s="6">
        <v>43425.104166666672</v>
      </c>
      <c r="B1858" s="7" t="str">
        <f>HYPERLINK("https://twitter.com/randomsigfrid","@randomsigfrid")</f>
        <v>@randomsigfrid</v>
      </c>
      <c r="C1858" s="8" t="s">
        <v>7446</v>
      </c>
      <c r="D1858" s="9" t="s">
        <v>7447</v>
      </c>
      <c r="E1858" s="10" t="str">
        <f>HYPERLINK("https://twitter.com/randomsigfrid/status/1065190585357742080","1065190585357742080")</f>
        <v>1065190585357742080</v>
      </c>
      <c r="F1858" s="11"/>
      <c r="G1858" s="11"/>
      <c r="H1858" s="11"/>
      <c r="I1858" s="12">
        <v>0</v>
      </c>
      <c r="J1858" s="12">
        <v>0</v>
      </c>
      <c r="K1858" s="13" t="str">
        <f>HYPERLINK("http://google.es","Sigfrid SorIA")</f>
        <v>Sigfrid SorIA</v>
      </c>
      <c r="L1858" s="12">
        <v>85</v>
      </c>
      <c r="M1858" s="12">
        <v>0</v>
      </c>
      <c r="N1858" s="12">
        <v>10</v>
      </c>
      <c r="O1858" s="15"/>
      <c r="P1858" s="6">
        <v>42073.606400462959</v>
      </c>
      <c r="Q1858" s="16" t="s">
        <v>7448</v>
      </c>
      <c r="R1858" s="17" t="s">
        <v>7449</v>
      </c>
      <c r="S1858" s="14" t="s">
        <v>7450</v>
      </c>
      <c r="T1858" s="11"/>
      <c r="U1858" s="10" t="str">
        <f>HYPERLINK("https://pbs.twimg.com/profile_images/578752890505842688/oDj0BXDA.jpeg","View")</f>
        <v>View</v>
      </c>
    </row>
    <row r="1859" spans="1:21" ht="30.6">
      <c r="A1859" s="6">
        <v>43425.104062500002</v>
      </c>
      <c r="B1859" s="7" t="str">
        <f>HYPERLINK("https://twitter.com/Advan_40","@Advan_40")</f>
        <v>@Advan_40</v>
      </c>
      <c r="C1859" s="8" t="s">
        <v>7451</v>
      </c>
      <c r="D1859" s="9" t="s">
        <v>7452</v>
      </c>
      <c r="E1859" s="10" t="str">
        <f>HYPERLINK("https://twitter.com/Advan_40/status/1065190549446103041","1065190549446103041")</f>
        <v>1065190549446103041</v>
      </c>
      <c r="F1859" s="14" t="s">
        <v>7453</v>
      </c>
      <c r="G1859" s="11"/>
      <c r="H1859" s="11"/>
      <c r="I1859" s="12">
        <v>0</v>
      </c>
      <c r="J1859" s="12">
        <v>0</v>
      </c>
      <c r="K1859" s="13" t="str">
        <f>HYPERLINK("http://www.facebook.com/twitter","Facebook")</f>
        <v>Facebook</v>
      </c>
      <c r="L1859" s="12">
        <v>840</v>
      </c>
      <c r="M1859" s="12">
        <v>1213</v>
      </c>
      <c r="N1859" s="12">
        <v>13</v>
      </c>
      <c r="O1859" s="15"/>
      <c r="P1859" s="6">
        <v>41993.13013888889</v>
      </c>
      <c r="Q1859" s="16" t="s">
        <v>7454</v>
      </c>
      <c r="R1859" s="17" t="s">
        <v>7455</v>
      </c>
      <c r="S1859" s="14" t="s">
        <v>7456</v>
      </c>
      <c r="T1859" s="11"/>
      <c r="U1859" s="10" t="str">
        <f>HYPERLINK("https://pbs.twimg.com/profile_images/899596971501117440/BYd5dOEK.jpg","View")</f>
        <v>View</v>
      </c>
    </row>
    <row r="1860" spans="1:21" ht="51">
      <c r="A1860" s="6">
        <v>43425.103784722218</v>
      </c>
      <c r="B1860" s="7" t="str">
        <f>HYPERLINK("https://twitter.com/SanderLadetu","@SanderLadetu")</f>
        <v>@SanderLadetu</v>
      </c>
      <c r="C1860" s="8" t="s">
        <v>6872</v>
      </c>
      <c r="D1860" s="9" t="s">
        <v>7457</v>
      </c>
      <c r="E1860" s="10" t="str">
        <f>HYPERLINK("https://twitter.com/SanderLadetu/status/1065190447654596608","1065190447654596608")</f>
        <v>1065190447654596608</v>
      </c>
      <c r="F1860" s="11"/>
      <c r="G1860" s="14" t="s">
        <v>7458</v>
      </c>
      <c r="H1860" s="11"/>
      <c r="I1860" s="12">
        <v>0</v>
      </c>
      <c r="J1860" s="12">
        <v>3</v>
      </c>
      <c r="K1860" s="13" t="str">
        <f t="shared" ref="K1860:K1861" si="396">HYPERLINK("http://twitter.com","Twitter Web Client")</f>
        <v>Twitter Web Client</v>
      </c>
      <c r="L1860" s="12">
        <v>3704</v>
      </c>
      <c r="M1860" s="12">
        <v>2997</v>
      </c>
      <c r="N1860" s="12">
        <v>92</v>
      </c>
      <c r="O1860" s="15"/>
      <c r="P1860" s="6">
        <v>40688.501041666663</v>
      </c>
      <c r="Q1860" s="11"/>
      <c r="R1860" s="17" t="s">
        <v>6875</v>
      </c>
      <c r="S1860" s="11"/>
      <c r="T1860" s="11"/>
      <c r="U1860" s="10" t="str">
        <f>HYPERLINK("https://pbs.twimg.com/profile_images/1028017026856628225/UfETavi6.jpg","View")</f>
        <v>View</v>
      </c>
    </row>
    <row r="1861" spans="1:21" ht="51">
      <c r="A1861" s="6">
        <v>43425.102581018524</v>
      </c>
      <c r="B1861" s="7" t="str">
        <f>HYPERLINK("https://twitter.com/p_villena84","@p_villena84")</f>
        <v>@p_villena84</v>
      </c>
      <c r="C1861" s="8" t="s">
        <v>4339</v>
      </c>
      <c r="D1861" s="9" t="s">
        <v>4340</v>
      </c>
      <c r="E1861" s="10" t="str">
        <f>HYPERLINK("https://twitter.com/p_villena84/status/1065190010100596738","1065190010100596738")</f>
        <v>1065190010100596738</v>
      </c>
      <c r="F1861" s="11"/>
      <c r="G1861" s="14" t="s">
        <v>4341</v>
      </c>
      <c r="H1861" s="11"/>
      <c r="I1861" s="12">
        <v>0</v>
      </c>
      <c r="J1861" s="12">
        <v>2</v>
      </c>
      <c r="K1861" s="13" t="str">
        <f t="shared" si="396"/>
        <v>Twitter Web Client</v>
      </c>
      <c r="L1861" s="12">
        <v>14</v>
      </c>
      <c r="M1861" s="12">
        <v>87</v>
      </c>
      <c r="N1861" s="12">
        <v>0</v>
      </c>
      <c r="O1861" s="15"/>
      <c r="P1861" s="6">
        <v>42415.50980324074</v>
      </c>
      <c r="Q1861" s="11"/>
      <c r="R1861" s="17" t="s">
        <v>4345</v>
      </c>
      <c r="S1861" s="11"/>
      <c r="T1861" s="11"/>
      <c r="U1861" s="10" t="str">
        <f>HYPERLINK("https://pbs.twimg.com/profile_images/990296900887859200/yDaGU1w4.jpg","View")</f>
        <v>View</v>
      </c>
    </row>
    <row r="1862" spans="1:21" ht="13.2">
      <c r="A1862" s="6">
        <v>43425.100358796291</v>
      </c>
      <c r="B1862" s="7" t="str">
        <f>HYPERLINK("https://twitter.com/gara_ice","@gara_ice")</f>
        <v>@gara_ice</v>
      </c>
      <c r="C1862" s="8" t="s">
        <v>1475</v>
      </c>
      <c r="D1862" s="9" t="s">
        <v>7459</v>
      </c>
      <c r="E1862" s="10" t="str">
        <f>HYPERLINK("https://twitter.com/gara_ice/status/1065189205528272897","1065189205528272897")</f>
        <v>1065189205528272897</v>
      </c>
      <c r="F1862" s="14" t="s">
        <v>7460</v>
      </c>
      <c r="G1862" s="11"/>
      <c r="H1862" s="11"/>
      <c r="I1862" s="12">
        <v>0</v>
      </c>
      <c r="J1862" s="12">
        <v>0</v>
      </c>
      <c r="K1862" s="13" t="str">
        <f>HYPERLINK("https://ifttt.com","IFTTT")</f>
        <v>IFTTT</v>
      </c>
      <c r="L1862" s="12">
        <v>445</v>
      </c>
      <c r="M1862" s="12">
        <v>434</v>
      </c>
      <c r="N1862" s="12">
        <v>10</v>
      </c>
      <c r="O1862" s="15"/>
      <c r="P1862" s="6">
        <v>39590.060324074075</v>
      </c>
      <c r="Q1862" s="11"/>
      <c r="R1862" s="19"/>
      <c r="S1862" s="11"/>
      <c r="T1862" s="11"/>
      <c r="U1862" s="10" t="str">
        <f>HYPERLINK("https://pbs.twimg.com/profile_images/561850533468971008/-4f3cnLr.jpeg","View")</f>
        <v>View</v>
      </c>
    </row>
    <row r="1863" spans="1:21" ht="51">
      <c r="A1863" s="6">
        <v>43425.100243055553</v>
      </c>
      <c r="B1863" s="7" t="str">
        <f>HYPERLINK("https://twitter.com/pnique","@pnique")</f>
        <v>@pnique</v>
      </c>
      <c r="C1863" s="8" t="s">
        <v>2629</v>
      </c>
      <c r="D1863" s="9" t="s">
        <v>4348</v>
      </c>
      <c r="E1863" s="10" t="str">
        <f>HYPERLINK("https://twitter.com/pnique/status/1065189164335935488","1065189164335935488")</f>
        <v>1065189164335935488</v>
      </c>
      <c r="F1863" s="11"/>
      <c r="G1863" s="11"/>
      <c r="H1863" s="11"/>
      <c r="I1863" s="12">
        <v>3088</v>
      </c>
      <c r="J1863" s="12">
        <v>4980</v>
      </c>
      <c r="K1863" s="13" t="str">
        <f t="shared" ref="K1863:K1865" si="397">HYPERLINK("http://twitter.com/download/android","Twitter for Android")</f>
        <v>Twitter for Android</v>
      </c>
      <c r="L1863" s="12">
        <v>434211</v>
      </c>
      <c r="M1863" s="12">
        <v>2000</v>
      </c>
      <c r="N1863" s="12">
        <v>2555</v>
      </c>
      <c r="O1863" s="18" t="s">
        <v>52</v>
      </c>
      <c r="P1863" s="6">
        <v>39892.503287037034</v>
      </c>
      <c r="Q1863" s="16" t="s">
        <v>28</v>
      </c>
      <c r="R1863" s="17" t="s">
        <v>2634</v>
      </c>
      <c r="S1863" s="14" t="s">
        <v>2635</v>
      </c>
      <c r="T1863" s="11"/>
      <c r="U1863" s="10" t="str">
        <f>HYPERLINK("https://pbs.twimg.com/profile_images/1023484378364760065/1e8RgI_V.jpg","View")</f>
        <v>View</v>
      </c>
    </row>
    <row r="1864" spans="1:21" ht="61.2">
      <c r="A1864" s="6">
        <v>43425.098634259259</v>
      </c>
      <c r="B1864" s="7" t="str">
        <f>HYPERLINK("https://twitter.com/rotrenado","@rotrenado")</f>
        <v>@rotrenado</v>
      </c>
      <c r="C1864" s="8" t="s">
        <v>4350</v>
      </c>
      <c r="D1864" s="9" t="s">
        <v>4351</v>
      </c>
      <c r="E1864" s="10" t="str">
        <f>HYPERLINK("https://twitter.com/rotrenado/status/1065188579817730049","1065188579817730049")</f>
        <v>1065188579817730049</v>
      </c>
      <c r="F1864" s="14" t="s">
        <v>3749</v>
      </c>
      <c r="G1864" s="14" t="s">
        <v>3750</v>
      </c>
      <c r="H1864" s="11"/>
      <c r="I1864" s="12">
        <v>1</v>
      </c>
      <c r="J1864" s="12">
        <v>4</v>
      </c>
      <c r="K1864" s="13" t="str">
        <f t="shared" si="397"/>
        <v>Twitter for Android</v>
      </c>
      <c r="L1864" s="12">
        <v>405</v>
      </c>
      <c r="M1864" s="12">
        <v>396</v>
      </c>
      <c r="N1864" s="12">
        <v>2</v>
      </c>
      <c r="O1864" s="15"/>
      <c r="P1864" s="6">
        <v>41693.20144675926</v>
      </c>
      <c r="Q1864" s="16" t="s">
        <v>406</v>
      </c>
      <c r="R1864" s="17" t="s">
        <v>4354</v>
      </c>
      <c r="S1864" s="11"/>
      <c r="T1864" s="11"/>
      <c r="U1864" s="10" t="str">
        <f>HYPERLINK("https://pbs.twimg.com/profile_images/1009681921654345729/EjY8qKG0.jpg","View")</f>
        <v>View</v>
      </c>
    </row>
    <row r="1865" spans="1:21" ht="40.799999999999997">
      <c r="A1865" s="6">
        <v>43425.098437499997</v>
      </c>
      <c r="B1865" s="7" t="str">
        <f>HYPERLINK("https://twitter.com/liberal_mirada","@liberal_mirada")</f>
        <v>@liberal_mirada</v>
      </c>
      <c r="C1865" s="8" t="s">
        <v>7461</v>
      </c>
      <c r="D1865" s="9" t="s">
        <v>7462</v>
      </c>
      <c r="E1865" s="10" t="str">
        <f>HYPERLINK("https://twitter.com/liberal_mirada/status/1065188509999423488","1065188509999423488")</f>
        <v>1065188509999423488</v>
      </c>
      <c r="F1865" s="11"/>
      <c r="G1865" s="14" t="s">
        <v>7463</v>
      </c>
      <c r="H1865" s="11"/>
      <c r="I1865" s="12">
        <v>142</v>
      </c>
      <c r="J1865" s="12">
        <v>148</v>
      </c>
      <c r="K1865" s="13" t="str">
        <f t="shared" si="397"/>
        <v>Twitter for Android</v>
      </c>
      <c r="L1865" s="12">
        <v>10424</v>
      </c>
      <c r="M1865" s="12">
        <v>3858</v>
      </c>
      <c r="N1865" s="12">
        <v>49</v>
      </c>
      <c r="O1865" s="15"/>
      <c r="P1865" s="6">
        <v>42429.940243055556</v>
      </c>
      <c r="Q1865" s="11"/>
      <c r="R1865" s="17" t="s">
        <v>7464</v>
      </c>
      <c r="S1865" s="11"/>
      <c r="T1865" s="11"/>
      <c r="U1865" s="10" t="str">
        <f>HYPERLINK("https://pbs.twimg.com/profile_images/957205300070768641/5U6m0RMn.jpg","View")</f>
        <v>View</v>
      </c>
    </row>
    <row r="1866" spans="1:21" ht="40.799999999999997">
      <c r="A1866" s="6">
        <v>43425.097222222219</v>
      </c>
      <c r="B1866" s="7" t="str">
        <f>HYPERLINK("https://twitter.com/PoletikaORG","@PoletikaORG")</f>
        <v>@PoletikaORG</v>
      </c>
      <c r="C1866" s="8" t="s">
        <v>4355</v>
      </c>
      <c r="D1866" s="9" t="s">
        <v>4356</v>
      </c>
      <c r="E1866" s="10" t="str">
        <f>HYPERLINK("https://twitter.com/PoletikaORG/status/1065188068209106944","1065188068209106944")</f>
        <v>1065188068209106944</v>
      </c>
      <c r="F1866" s="14" t="s">
        <v>4358</v>
      </c>
      <c r="G1866" s="14" t="s">
        <v>4359</v>
      </c>
      <c r="H1866" s="11"/>
      <c r="I1866" s="12">
        <v>7</v>
      </c>
      <c r="J1866" s="12">
        <v>8</v>
      </c>
      <c r="K1866" s="13" t="str">
        <f>HYPERLINK("https://about.twitter.com/products/tweetdeck","TweetDeck")</f>
        <v>TweetDeck</v>
      </c>
      <c r="L1866" s="12">
        <v>12614</v>
      </c>
      <c r="M1866" s="12">
        <v>2020</v>
      </c>
      <c r="N1866" s="12">
        <v>346</v>
      </c>
      <c r="O1866" s="15"/>
      <c r="P1866" s="6">
        <v>41733.335659722223</v>
      </c>
      <c r="Q1866" s="11"/>
      <c r="R1866" s="17" t="s">
        <v>4362</v>
      </c>
      <c r="S1866" s="14" t="s">
        <v>4363</v>
      </c>
      <c r="T1866" s="11"/>
      <c r="U1866" s="10" t="str">
        <f>HYPERLINK("https://pbs.twimg.com/profile_images/614375247630962688/FClIjgaM.png","View")</f>
        <v>View</v>
      </c>
    </row>
    <row r="1867" spans="1:21" ht="51">
      <c r="A1867" s="6">
        <v>43425.095763888894</v>
      </c>
      <c r="B1867" s="7" t="str">
        <f>HYPERLINK("https://twitter.com/HectorRivero3","@HectorRivero3")</f>
        <v>@HectorRivero3</v>
      </c>
      <c r="C1867" s="8" t="s">
        <v>4364</v>
      </c>
      <c r="D1867" s="9" t="s">
        <v>4365</v>
      </c>
      <c r="E1867" s="10" t="str">
        <f>HYPERLINK("https://twitter.com/HectorRivero3/status/1065187539361955840","1065187539361955840")</f>
        <v>1065187539361955840</v>
      </c>
      <c r="F1867" s="14" t="s">
        <v>4366</v>
      </c>
      <c r="G1867" s="14" t="s">
        <v>4367</v>
      </c>
      <c r="H1867" s="11"/>
      <c r="I1867" s="12">
        <v>1</v>
      </c>
      <c r="J1867" s="12">
        <v>2</v>
      </c>
      <c r="K1867" s="13" t="str">
        <f t="shared" ref="K1867:K1868" si="398">HYPERLINK("http://twitter.com","Twitter Web Client")</f>
        <v>Twitter Web Client</v>
      </c>
      <c r="L1867" s="12">
        <v>212</v>
      </c>
      <c r="M1867" s="12">
        <v>500</v>
      </c>
      <c r="N1867" s="12">
        <v>9</v>
      </c>
      <c r="O1867" s="15"/>
      <c r="P1867" s="6">
        <v>40714.232708333337</v>
      </c>
      <c r="Q1867" s="11"/>
      <c r="R1867" s="17" t="s">
        <v>4368</v>
      </c>
      <c r="S1867" s="11"/>
      <c r="T1867" s="11"/>
      <c r="U1867" s="10" t="str">
        <f>HYPERLINK("https://pbs.twimg.com/profile_images/1055780051285934082/fu8cZP_U.jpg","View")</f>
        <v>View</v>
      </c>
    </row>
    <row r="1868" spans="1:21" ht="20.399999999999999">
      <c r="A1868" s="6">
        <v>43425.095416666663</v>
      </c>
      <c r="B1868" s="7" t="str">
        <f>HYPERLINK("https://twitter.com/Alfacebook64","@Alfacebook64")</f>
        <v>@Alfacebook64</v>
      </c>
      <c r="C1868" s="8" t="s">
        <v>1204</v>
      </c>
      <c r="D1868" s="9" t="s">
        <v>5998</v>
      </c>
      <c r="E1868" s="10" t="str">
        <f>HYPERLINK("https://twitter.com/Alfacebook64/status/1065187414233227265","1065187414233227265")</f>
        <v>1065187414233227265</v>
      </c>
      <c r="F1868" s="14" t="s">
        <v>5999</v>
      </c>
      <c r="G1868" s="11"/>
      <c r="H1868" s="11"/>
      <c r="I1868" s="12">
        <v>2</v>
      </c>
      <c r="J1868" s="12">
        <v>1</v>
      </c>
      <c r="K1868" s="13" t="str">
        <f t="shared" si="398"/>
        <v>Twitter Web Client</v>
      </c>
      <c r="L1868" s="12">
        <v>4225</v>
      </c>
      <c r="M1868" s="12">
        <v>3495</v>
      </c>
      <c r="N1868" s="12">
        <v>39</v>
      </c>
      <c r="O1868" s="15"/>
      <c r="P1868" s="6">
        <v>42189.576504629629</v>
      </c>
      <c r="Q1868" s="16" t="s">
        <v>1208</v>
      </c>
      <c r="R1868" s="17" t="s">
        <v>1209</v>
      </c>
      <c r="S1868" s="11"/>
      <c r="T1868" s="11"/>
      <c r="U1868" s="10" t="str">
        <f>HYPERLINK("https://pbs.twimg.com/profile_images/636562609811099648/TOG_sQjr.jpg","View")</f>
        <v>View</v>
      </c>
    </row>
    <row r="1869" spans="1:21" ht="61.2">
      <c r="A1869" s="6">
        <v>43425.093055555553</v>
      </c>
      <c r="B1869" s="7" t="str">
        <f>HYPERLINK("https://twitter.com/Radio_Sporting","@Radio_Sporting")</f>
        <v>@Radio_Sporting</v>
      </c>
      <c r="C1869" s="8" t="s">
        <v>884</v>
      </c>
      <c r="D1869" s="9" t="s">
        <v>3568</v>
      </c>
      <c r="E1869" s="10" t="str">
        <f>HYPERLINK("https://twitter.com/Radio_Sporting/status/1065186558045638657","1065186558045638657")</f>
        <v>1065186558045638657</v>
      </c>
      <c r="F1869" s="11"/>
      <c r="G1869" s="14" t="s">
        <v>7465</v>
      </c>
      <c r="H1869" s="11"/>
      <c r="I1869" s="12">
        <v>5</v>
      </c>
      <c r="J1869" s="12">
        <v>9</v>
      </c>
      <c r="K1869" s="13" t="str">
        <f>HYPERLINK("https://about.twitter.com/products/tweetdeck","TweetDeck")</f>
        <v>TweetDeck</v>
      </c>
      <c r="L1869" s="12">
        <v>2244</v>
      </c>
      <c r="M1869" s="12">
        <v>1450</v>
      </c>
      <c r="N1869" s="12">
        <v>35</v>
      </c>
      <c r="O1869" s="15"/>
      <c r="P1869" s="6">
        <v>41810.058981481481</v>
      </c>
      <c r="Q1869" s="16" t="s">
        <v>891</v>
      </c>
      <c r="R1869" s="17" t="s">
        <v>892</v>
      </c>
      <c r="S1869" s="14" t="s">
        <v>893</v>
      </c>
      <c r="T1869" s="11"/>
      <c r="U1869" s="10" t="str">
        <f>HYPERLINK("https://pbs.twimg.com/profile_images/1046720125746008067/7_1_XRaL.jpg","View")</f>
        <v>View</v>
      </c>
    </row>
    <row r="1870" spans="1:21" ht="51">
      <c r="A1870" s="6">
        <v>43425.089097222226</v>
      </c>
      <c r="B1870" s="7" t="str">
        <f>HYPERLINK("https://twitter.com/MSPE_Andalucia","@MSPE_Andalucia")</f>
        <v>@MSPE_Andalucia</v>
      </c>
      <c r="C1870" s="8" t="s">
        <v>4369</v>
      </c>
      <c r="D1870" s="9" t="s">
        <v>4370</v>
      </c>
      <c r="E1870" s="10" t="str">
        <f>HYPERLINK("https://twitter.com/MSPE_Andalucia/status/1065185126269808640","1065185126269808640")</f>
        <v>1065185126269808640</v>
      </c>
      <c r="F1870" s="14" t="s">
        <v>4372</v>
      </c>
      <c r="G1870" s="11"/>
      <c r="H1870" s="11"/>
      <c r="I1870" s="12">
        <v>0</v>
      </c>
      <c r="J1870" s="12">
        <v>0</v>
      </c>
      <c r="K1870" s="13" t="str">
        <f>HYPERLINK("http://twitter.com/download/android","Twitter for Android")</f>
        <v>Twitter for Android</v>
      </c>
      <c r="L1870" s="12">
        <v>136</v>
      </c>
      <c r="M1870" s="12">
        <v>113</v>
      </c>
      <c r="N1870" s="12">
        <v>0</v>
      </c>
      <c r="O1870" s="15"/>
      <c r="P1870" s="6">
        <v>43280.015393518523</v>
      </c>
      <c r="Q1870" s="11"/>
      <c r="R1870" s="17" t="s">
        <v>4374</v>
      </c>
      <c r="S1870" s="11"/>
      <c r="T1870" s="11"/>
      <c r="U1870" s="10" t="str">
        <f>HYPERLINK("https://pbs.twimg.com/profile_images/1012598019978616832/OlAJNRNM.jpg","View")</f>
        <v>View</v>
      </c>
    </row>
    <row r="1871" spans="1:21" ht="112.2">
      <c r="A1871" s="6">
        <v>43425.088900462964</v>
      </c>
      <c r="B1871" s="7" t="str">
        <f>HYPERLINK("https://twitter.com/SindicatoASAE","@SindicatoASAE")</f>
        <v>@SindicatoASAE</v>
      </c>
      <c r="C1871" s="8" t="s">
        <v>4378</v>
      </c>
      <c r="D1871" s="9" t="s">
        <v>4379</v>
      </c>
      <c r="E1871" s="10" t="str">
        <f>HYPERLINK("https://twitter.com/SindicatoASAE/status/1065185053552992257","1065185053552992257")</f>
        <v>1065185053552992257</v>
      </c>
      <c r="F1871" s="14" t="s">
        <v>4380</v>
      </c>
      <c r="G1871" s="16" t="s">
        <v>4383</v>
      </c>
      <c r="H1871" s="11"/>
      <c r="I1871" s="12">
        <v>1</v>
      </c>
      <c r="J1871" s="12">
        <v>0</v>
      </c>
      <c r="K1871" s="13" t="str">
        <f>HYPERLINK("https://about.twitter.com/products/tweetdeck","TweetDeck")</f>
        <v>TweetDeck</v>
      </c>
      <c r="L1871" s="12">
        <v>2329</v>
      </c>
      <c r="M1871" s="12">
        <v>198</v>
      </c>
      <c r="N1871" s="12">
        <v>112</v>
      </c>
      <c r="O1871" s="15"/>
      <c r="P1871" s="6">
        <v>40783.654490740737</v>
      </c>
      <c r="Q1871" s="16" t="s">
        <v>4384</v>
      </c>
      <c r="R1871" s="17" t="s">
        <v>4385</v>
      </c>
      <c r="S1871" s="14" t="s">
        <v>4386</v>
      </c>
      <c r="T1871" s="11"/>
      <c r="U1871" s="10" t="str">
        <f>HYPERLINK("https://pbs.twimg.com/profile_images/998196035166982144/ET4R1o-n.jpg","View")</f>
        <v>View</v>
      </c>
    </row>
    <row r="1872" spans="1:21" ht="51">
      <c r="A1872" s="6">
        <v>43425.088287037041</v>
      </c>
      <c r="B1872" s="7" t="str">
        <f>HYPERLINK("https://twitter.com/EvaEvitaEva5","@EvaEvitaEva5")</f>
        <v>@EvaEvitaEva5</v>
      </c>
      <c r="C1872" s="8" t="s">
        <v>3607</v>
      </c>
      <c r="D1872" s="9" t="s">
        <v>4390</v>
      </c>
      <c r="E1872" s="10" t="str">
        <f>HYPERLINK("https://twitter.com/EvaEvitaEva5/status/1065184829849956353","1065184829849956353")</f>
        <v>1065184829849956353</v>
      </c>
      <c r="F1872" s="11"/>
      <c r="G1872" s="14" t="s">
        <v>4394</v>
      </c>
      <c r="H1872" s="11"/>
      <c r="I1872" s="12">
        <v>0</v>
      </c>
      <c r="J1872" s="12">
        <v>1</v>
      </c>
      <c r="K1872" s="13" t="str">
        <f t="shared" ref="K1872:K1874" si="399">HYPERLINK("http://twitter.com/download/android","Twitter for Android")</f>
        <v>Twitter for Android</v>
      </c>
      <c r="L1872" s="12">
        <v>15</v>
      </c>
      <c r="M1872" s="12">
        <v>59</v>
      </c>
      <c r="N1872" s="12">
        <v>0</v>
      </c>
      <c r="O1872" s="15"/>
      <c r="P1872" s="6">
        <v>43167.025138888886</v>
      </c>
      <c r="Q1872" s="16" t="s">
        <v>3612</v>
      </c>
      <c r="R1872" s="17" t="s">
        <v>3614</v>
      </c>
      <c r="S1872" s="11"/>
      <c r="T1872" s="11"/>
      <c r="U1872" s="10" t="str">
        <f>HYPERLINK("https://pbs.twimg.com/profile_images/1064860572246818816/roTWVcF1.jpg","View")</f>
        <v>View</v>
      </c>
    </row>
    <row r="1873" spans="1:21" ht="61.2">
      <c r="A1873" s="6">
        <v>43425.087638888886</v>
      </c>
      <c r="B1873" s="7" t="str">
        <f>HYPERLINK("https://twitter.com/Cmada29","@Cmada29")</f>
        <v>@Cmada29</v>
      </c>
      <c r="C1873" s="8" t="s">
        <v>4395</v>
      </c>
      <c r="D1873" s="9" t="s">
        <v>4396</v>
      </c>
      <c r="E1873" s="10" t="str">
        <f>HYPERLINK("https://twitter.com/Cmada29/status/1065184597464494080","1065184597464494080")</f>
        <v>1065184597464494080</v>
      </c>
      <c r="F1873" s="11"/>
      <c r="G1873" s="11"/>
      <c r="H1873" s="11"/>
      <c r="I1873" s="12">
        <v>2</v>
      </c>
      <c r="J1873" s="12">
        <v>1</v>
      </c>
      <c r="K1873" s="13" t="str">
        <f t="shared" si="399"/>
        <v>Twitter for Android</v>
      </c>
      <c r="L1873" s="12">
        <v>1280</v>
      </c>
      <c r="M1873" s="12">
        <v>2781</v>
      </c>
      <c r="N1873" s="12">
        <v>335</v>
      </c>
      <c r="O1873" s="15"/>
      <c r="P1873" s="6">
        <v>41758.043495370366</v>
      </c>
      <c r="Q1873" s="16" t="s">
        <v>4397</v>
      </c>
      <c r="R1873" s="17" t="s">
        <v>4398</v>
      </c>
      <c r="S1873" s="11"/>
      <c r="T1873" s="11"/>
      <c r="U1873" s="10" t="str">
        <f>HYPERLINK("https://pbs.twimg.com/profile_images/705903637550206977/ykTHPHVp.jpg","View")</f>
        <v>View</v>
      </c>
    </row>
    <row r="1874" spans="1:21" ht="102">
      <c r="A1874" s="6">
        <v>43425.086956018524</v>
      </c>
      <c r="B1874" s="7" t="str">
        <f>HYPERLINK("https://twitter.com/JosVeloz","@JosVeloz")</f>
        <v>@JosVeloz</v>
      </c>
      <c r="C1874" s="8" t="s">
        <v>4399</v>
      </c>
      <c r="D1874" s="9" t="s">
        <v>4400</v>
      </c>
      <c r="E1874" s="10" t="str">
        <f>HYPERLINK("https://twitter.com/JosVeloz/status/1065184348847161344","1065184348847161344")</f>
        <v>1065184348847161344</v>
      </c>
      <c r="F1874" s="16" t="s">
        <v>4401</v>
      </c>
      <c r="G1874" s="11"/>
      <c r="H1874" s="11"/>
      <c r="I1874" s="12">
        <v>0</v>
      </c>
      <c r="J1874" s="12">
        <v>1</v>
      </c>
      <c r="K1874" s="13" t="str">
        <f t="shared" si="399"/>
        <v>Twitter for Android</v>
      </c>
      <c r="L1874" s="12">
        <v>375</v>
      </c>
      <c r="M1874" s="12">
        <v>290</v>
      </c>
      <c r="N1874" s="12">
        <v>5</v>
      </c>
      <c r="O1874" s="15"/>
      <c r="P1874" s="6">
        <v>40786.357361111113</v>
      </c>
      <c r="Q1874" s="16" t="s">
        <v>4402</v>
      </c>
      <c r="R1874" s="17" t="s">
        <v>4403</v>
      </c>
      <c r="S1874" s="11"/>
      <c r="T1874" s="11"/>
      <c r="U1874" s="10" t="str">
        <f>HYPERLINK("https://pbs.twimg.com/profile_images/495129277097324544/fNihaUb6.jpeg","View")</f>
        <v>View</v>
      </c>
    </row>
    <row r="1875" spans="1:21" ht="51">
      <c r="A1875" s="6">
        <v>43425.086342592593</v>
      </c>
      <c r="B1875" s="7" t="str">
        <f>HYPERLINK("https://twitter.com/JyPSpain","@JyPSpain")</f>
        <v>@JyPSpain</v>
      </c>
      <c r="C1875" s="8" t="s">
        <v>4404</v>
      </c>
      <c r="D1875" s="9" t="s">
        <v>4405</v>
      </c>
      <c r="E1875" s="10" t="str">
        <f>HYPERLINK("https://twitter.com/JyPSpain/status/1065184124829351936","1065184124829351936")</f>
        <v>1065184124829351936</v>
      </c>
      <c r="F1875" s="14" t="s">
        <v>4294</v>
      </c>
      <c r="G1875" s="14" t="s">
        <v>4407</v>
      </c>
      <c r="H1875" s="11"/>
      <c r="I1875" s="12">
        <v>0</v>
      </c>
      <c r="J1875" s="12">
        <v>1</v>
      </c>
      <c r="K1875" s="13" t="str">
        <f>HYPERLINK("http://twitter.com","Twitter Web Client")</f>
        <v>Twitter Web Client</v>
      </c>
      <c r="L1875" s="12">
        <v>1415</v>
      </c>
      <c r="M1875" s="12">
        <v>305</v>
      </c>
      <c r="N1875" s="12">
        <v>45</v>
      </c>
      <c r="O1875" s="15"/>
      <c r="P1875" s="6">
        <v>41824.10564814815</v>
      </c>
      <c r="Q1875" s="11"/>
      <c r="R1875" s="17" t="s">
        <v>4408</v>
      </c>
      <c r="S1875" s="14" t="s">
        <v>4409</v>
      </c>
      <c r="T1875" s="11"/>
      <c r="U1875" s="10" t="str">
        <f>HYPERLINK("https://pbs.twimg.com/profile_images/951824467830943746/XyBtXji0.jpg","View")</f>
        <v>View</v>
      </c>
    </row>
    <row r="1876" spans="1:21" ht="40.799999999999997">
      <c r="A1876" s="6">
        <v>43425.085787037038</v>
      </c>
      <c r="B1876" s="7" t="str">
        <f>HYPERLINK("https://twitter.com/El_Namber_Juan","@El_Namber_Juan")</f>
        <v>@El_Namber_Juan</v>
      </c>
      <c r="C1876" s="8" t="s">
        <v>7466</v>
      </c>
      <c r="D1876" s="9" t="s">
        <v>7467</v>
      </c>
      <c r="E1876" s="10" t="str">
        <f>HYPERLINK("https://twitter.com/El_Namber_Juan/status/1065183926568796161","1065183926568796161")</f>
        <v>1065183926568796161</v>
      </c>
      <c r="F1876" s="11"/>
      <c r="G1876" s="11"/>
      <c r="H1876" s="11"/>
      <c r="I1876" s="12">
        <v>4</v>
      </c>
      <c r="J1876" s="12">
        <v>12</v>
      </c>
      <c r="K1876" s="13" t="str">
        <f t="shared" ref="K1876:K1878" si="400">HYPERLINK("http://twitter.com/download/android","Twitter for Android")</f>
        <v>Twitter for Android</v>
      </c>
      <c r="L1876" s="12">
        <v>2059</v>
      </c>
      <c r="M1876" s="12">
        <v>892</v>
      </c>
      <c r="N1876" s="12">
        <v>23</v>
      </c>
      <c r="O1876" s="15"/>
      <c r="P1876" s="6">
        <v>42268.592233796298</v>
      </c>
      <c r="Q1876" s="11"/>
      <c r="R1876" s="17" t="s">
        <v>7468</v>
      </c>
      <c r="S1876" s="11"/>
      <c r="T1876" s="11"/>
      <c r="U1876" s="10" t="str">
        <f>HYPERLINK("https://pbs.twimg.com/profile_images/992810474449309696/tZt53GCn.jpg","View")</f>
        <v>View</v>
      </c>
    </row>
    <row r="1877" spans="1:21" ht="51">
      <c r="A1877" s="6">
        <v>43425.085370370369</v>
      </c>
      <c r="B1877" s="7" t="str">
        <f>HYPERLINK("https://twitter.com/DHFeminismo18","@DHFeminismo18")</f>
        <v>@DHFeminismo18</v>
      </c>
      <c r="C1877" s="8" t="s">
        <v>4412</v>
      </c>
      <c r="D1877" s="9" t="s">
        <v>4390</v>
      </c>
      <c r="E1877" s="10" t="str">
        <f>HYPERLINK("https://twitter.com/DHFeminismo18/status/1065183772319105025","1065183772319105025")</f>
        <v>1065183772319105025</v>
      </c>
      <c r="F1877" s="11"/>
      <c r="G1877" s="14" t="s">
        <v>4414</v>
      </c>
      <c r="H1877" s="11"/>
      <c r="I1877" s="12">
        <v>0</v>
      </c>
      <c r="J1877" s="12">
        <v>1</v>
      </c>
      <c r="K1877" s="13" t="str">
        <f t="shared" si="400"/>
        <v>Twitter for Android</v>
      </c>
      <c r="L1877" s="12">
        <v>45</v>
      </c>
      <c r="M1877" s="12">
        <v>49</v>
      </c>
      <c r="N1877" s="12">
        <v>0</v>
      </c>
      <c r="O1877" s="15"/>
      <c r="P1877" s="6">
        <v>43328.10292824074</v>
      </c>
      <c r="Q1877" s="16" t="s">
        <v>3612</v>
      </c>
      <c r="R1877" s="17" t="s">
        <v>4415</v>
      </c>
      <c r="S1877" s="14" t="s">
        <v>4416</v>
      </c>
      <c r="T1877" s="11"/>
      <c r="U1877" s="10" t="str">
        <f>HYPERLINK("https://pbs.twimg.com/profile_images/1030045605278740480/TMo2sQQ-.jpg","View")</f>
        <v>View</v>
      </c>
    </row>
    <row r="1878" spans="1:21" ht="81.599999999999994">
      <c r="A1878" s="6">
        <v>43425.084918981476</v>
      </c>
      <c r="B1878" s="7" t="str">
        <f>HYPERLINK("https://twitter.com/josefo27","@josefo27")</f>
        <v>@josefo27</v>
      </c>
      <c r="C1878" s="8" t="s">
        <v>7469</v>
      </c>
      <c r="D1878" s="9" t="s">
        <v>7470</v>
      </c>
      <c r="E1878" s="10" t="str">
        <f>HYPERLINK("https://twitter.com/josefo27/status/1065183610821636096","1065183610821636096")</f>
        <v>1065183610821636096</v>
      </c>
      <c r="F1878" s="16" t="s">
        <v>7471</v>
      </c>
      <c r="G1878" s="14" t="s">
        <v>7472</v>
      </c>
      <c r="H1878" s="11"/>
      <c r="I1878" s="12">
        <v>0</v>
      </c>
      <c r="J1878" s="12">
        <v>1</v>
      </c>
      <c r="K1878" s="13" t="str">
        <f t="shared" si="400"/>
        <v>Twitter for Android</v>
      </c>
      <c r="L1878" s="12">
        <v>1145</v>
      </c>
      <c r="M1878" s="12">
        <v>799</v>
      </c>
      <c r="N1878" s="12">
        <v>20</v>
      </c>
      <c r="O1878" s="15"/>
      <c r="P1878" s="6">
        <v>40423.167766203704</v>
      </c>
      <c r="Q1878" s="16" t="s">
        <v>7473</v>
      </c>
      <c r="R1878" s="17" t="s">
        <v>7474</v>
      </c>
      <c r="S1878" s="14" t="s">
        <v>7475</v>
      </c>
      <c r="T1878" s="11"/>
      <c r="U1878" s="10" t="str">
        <f>HYPERLINK("https://pbs.twimg.com/profile_images/1021127293362745344/75Hg9AGL.jpg","View")</f>
        <v>View</v>
      </c>
    </row>
    <row r="1879" spans="1:21" ht="51">
      <c r="A1879" s="6">
        <v>43425.084722222222</v>
      </c>
      <c r="B1879" s="7" t="str">
        <f>HYPERLINK("https://twitter.com/PoletikaORG","@PoletikaORG")</f>
        <v>@PoletikaORG</v>
      </c>
      <c r="C1879" s="8" t="s">
        <v>4355</v>
      </c>
      <c r="D1879" s="9" t="s">
        <v>4405</v>
      </c>
      <c r="E1879" s="10" t="str">
        <f>HYPERLINK("https://twitter.com/PoletikaORG/status/1065183538448879618","1065183538448879618")</f>
        <v>1065183538448879618</v>
      </c>
      <c r="F1879" s="14" t="s">
        <v>4294</v>
      </c>
      <c r="G1879" s="14" t="s">
        <v>4418</v>
      </c>
      <c r="H1879" s="11"/>
      <c r="I1879" s="12">
        <v>22</v>
      </c>
      <c r="J1879" s="12">
        <v>23</v>
      </c>
      <c r="K1879" s="13" t="str">
        <f t="shared" ref="K1879:K1880" si="401">HYPERLINK("https://about.twitter.com/products/tweetdeck","TweetDeck")</f>
        <v>TweetDeck</v>
      </c>
      <c r="L1879" s="12">
        <v>12614</v>
      </c>
      <c r="M1879" s="12">
        <v>2020</v>
      </c>
      <c r="N1879" s="12">
        <v>346</v>
      </c>
      <c r="O1879" s="15"/>
      <c r="P1879" s="6">
        <v>41733.335659722223</v>
      </c>
      <c r="Q1879" s="11"/>
      <c r="R1879" s="17" t="s">
        <v>4362</v>
      </c>
      <c r="S1879" s="14" t="s">
        <v>4363</v>
      </c>
      <c r="T1879" s="11"/>
      <c r="U1879" s="10" t="str">
        <f>HYPERLINK("https://pbs.twimg.com/profile_images/614375247630962688/FClIjgaM.png","View")</f>
        <v>View</v>
      </c>
    </row>
    <row r="1880" spans="1:21" ht="40.799999999999997">
      <c r="A1880" s="6">
        <v>43425.083333333328</v>
      </c>
      <c r="B1880" s="7" t="str">
        <f>HYPERLINK("https://twitter.com/VerdaderaIzqda","@VerdaderaIzqda")</f>
        <v>@VerdaderaIzqda</v>
      </c>
      <c r="C1880" s="8" t="s">
        <v>1238</v>
      </c>
      <c r="D1880" s="9" t="s">
        <v>1240</v>
      </c>
      <c r="E1880" s="10" t="str">
        <f>HYPERLINK("https://twitter.com/VerdaderaIzqda/status/1065183037716119553","1065183037716119553")</f>
        <v>1065183037716119553</v>
      </c>
      <c r="F1880" s="14" t="s">
        <v>1242</v>
      </c>
      <c r="G1880" s="11"/>
      <c r="H1880" s="11"/>
      <c r="I1880" s="12">
        <v>2</v>
      </c>
      <c r="J1880" s="12">
        <v>4</v>
      </c>
      <c r="K1880" s="13" t="str">
        <f t="shared" si="401"/>
        <v>TweetDeck</v>
      </c>
      <c r="L1880" s="12">
        <v>37334</v>
      </c>
      <c r="M1880" s="12">
        <v>15826</v>
      </c>
      <c r="N1880" s="12">
        <v>284</v>
      </c>
      <c r="O1880" s="15"/>
      <c r="P1880" s="6">
        <v>40716.206192129626</v>
      </c>
      <c r="Q1880" s="16" t="s">
        <v>28</v>
      </c>
      <c r="R1880" s="17" t="s">
        <v>1243</v>
      </c>
      <c r="S1880" s="14" t="s">
        <v>1244</v>
      </c>
      <c r="T1880" s="11"/>
      <c r="U1880" s="10" t="str">
        <f>HYPERLINK("https://pbs.twimg.com/profile_images/1407748160/contra_el_comunismo.jpg","View")</f>
        <v>View</v>
      </c>
    </row>
    <row r="1881" spans="1:21" ht="20.399999999999999">
      <c r="A1881" s="6">
        <v>43425.083090277782</v>
      </c>
      <c r="B1881" s="7" t="str">
        <f>HYPERLINK("https://twitter.com/AragornDeMordor","@AragornDeMordor")</f>
        <v>@AragornDeMordor</v>
      </c>
      <c r="C1881" s="8" t="s">
        <v>7476</v>
      </c>
      <c r="D1881" s="9" t="s">
        <v>7477</v>
      </c>
      <c r="E1881" s="10" t="str">
        <f>HYPERLINK("https://twitter.com/AragornDeMordor/status/1065182945797988352","1065182945797988352")</f>
        <v>1065182945797988352</v>
      </c>
      <c r="F1881" s="11"/>
      <c r="G1881" s="11"/>
      <c r="H1881" s="11"/>
      <c r="I1881" s="12">
        <v>1</v>
      </c>
      <c r="J1881" s="12">
        <v>2</v>
      </c>
      <c r="K1881" s="13" t="str">
        <f>HYPERLINK("http://twitter.com","Twitter Web Client")</f>
        <v>Twitter Web Client</v>
      </c>
      <c r="L1881" s="12">
        <v>3370</v>
      </c>
      <c r="M1881" s="12">
        <v>889</v>
      </c>
      <c r="N1881" s="12">
        <v>57</v>
      </c>
      <c r="O1881" s="15"/>
      <c r="P1881" s="6">
        <v>40792.283101851848</v>
      </c>
      <c r="Q1881" s="11"/>
      <c r="R1881" s="17" t="s">
        <v>7478</v>
      </c>
      <c r="S1881" s="11"/>
      <c r="T1881" s="11"/>
      <c r="U1881" s="10" t="str">
        <f>HYPERLINK("https://pbs.twimg.com/profile_images/962603206307086336/ASObDFQj.jpg","View")</f>
        <v>View</v>
      </c>
    </row>
    <row r="1882" spans="1:21" ht="51">
      <c r="A1882" s="6">
        <v>43425.082962962959</v>
      </c>
      <c r="B1882" s="7" t="str">
        <f>HYPERLINK("https://twitter.com/GloriaElizo","@GloriaElizo")</f>
        <v>@GloriaElizo</v>
      </c>
      <c r="C1882" s="8" t="s">
        <v>2993</v>
      </c>
      <c r="D1882" s="9" t="s">
        <v>4421</v>
      </c>
      <c r="E1882" s="10" t="str">
        <f>HYPERLINK("https://twitter.com/GloriaElizo/status/1065182901027913730","1065182901027913730")</f>
        <v>1065182901027913730</v>
      </c>
      <c r="F1882" s="11"/>
      <c r="G1882" s="14" t="s">
        <v>4424</v>
      </c>
      <c r="H1882" s="11"/>
      <c r="I1882" s="12">
        <v>273</v>
      </c>
      <c r="J1882" s="12">
        <v>351</v>
      </c>
      <c r="K1882" s="13" t="str">
        <f>HYPERLINK("http://twitter.com/download/iphone","Twitter for iPhone")</f>
        <v>Twitter for iPhone</v>
      </c>
      <c r="L1882" s="12">
        <v>8667</v>
      </c>
      <c r="M1882" s="12">
        <v>985</v>
      </c>
      <c r="N1882" s="12">
        <v>169</v>
      </c>
      <c r="O1882" s="18" t="s">
        <v>52</v>
      </c>
      <c r="P1882" s="6">
        <v>40682.219363425924</v>
      </c>
      <c r="Q1882" s="11"/>
      <c r="R1882" s="17" t="s">
        <v>2997</v>
      </c>
      <c r="S1882" s="14" t="s">
        <v>2998</v>
      </c>
      <c r="T1882" s="11"/>
      <c r="U1882" s="10" t="str">
        <f>HYPERLINK("https://pbs.twimg.com/profile_images/922374852778086400/Zwfig7h7.jpg","View")</f>
        <v>View</v>
      </c>
    </row>
    <row r="1883" spans="1:21" ht="51">
      <c r="A1883" s="6">
        <v>43425.082870370374</v>
      </c>
      <c r="B1883" s="7" t="str">
        <f>HYPERLINK("https://twitter.com/Pablo_Iglesias_","@Pablo_Iglesias_")</f>
        <v>@Pablo_Iglesias_</v>
      </c>
      <c r="C1883" s="8" t="s">
        <v>383</v>
      </c>
      <c r="D1883" s="9" t="s">
        <v>7479</v>
      </c>
      <c r="E1883" s="10" t="str">
        <f>HYPERLINK("https://twitter.com/Pablo_Iglesias_/status/1065182868538822656","1065182868538822656")</f>
        <v>1065182868538822656</v>
      </c>
      <c r="F1883" s="11"/>
      <c r="G1883" s="14" t="s">
        <v>3750</v>
      </c>
      <c r="H1883" s="11"/>
      <c r="I1883" s="12">
        <v>2297</v>
      </c>
      <c r="J1883" s="12">
        <v>4044</v>
      </c>
      <c r="K1883" s="13" t="str">
        <f>HYPERLINK("https://studio.twitter.com","Media Studio")</f>
        <v>Media Studio</v>
      </c>
      <c r="L1883" s="12">
        <v>2240182</v>
      </c>
      <c r="M1883" s="12">
        <v>2735</v>
      </c>
      <c r="N1883" s="12">
        <v>8469</v>
      </c>
      <c r="O1883" s="18" t="s">
        <v>52</v>
      </c>
      <c r="P1883" s="6">
        <v>40351.200300925928</v>
      </c>
      <c r="Q1883" s="16" t="s">
        <v>38</v>
      </c>
      <c r="R1883" s="17" t="s">
        <v>389</v>
      </c>
      <c r="S1883" s="14" t="s">
        <v>58</v>
      </c>
      <c r="T1883" s="11"/>
      <c r="U1883" s="10" t="str">
        <f>HYPERLINK("https://pbs.twimg.com/profile_images/902223370569338884/dL2D2A5P.jpg","View")</f>
        <v>View</v>
      </c>
    </row>
    <row r="1884" spans="1:21" ht="51">
      <c r="A1884" s="6">
        <v>43425.081516203703</v>
      </c>
      <c r="B1884" s="7" t="str">
        <f>HYPERLINK("https://twitter.com/migartua","@migartua")</f>
        <v>@migartua</v>
      </c>
      <c r="C1884" s="8" t="s">
        <v>4426</v>
      </c>
      <c r="D1884" s="9" t="s">
        <v>4427</v>
      </c>
      <c r="E1884" s="10" t="str">
        <f>HYPERLINK("https://twitter.com/migartua/status/1065182377314533377","1065182377314533377")</f>
        <v>1065182377314533377</v>
      </c>
      <c r="F1884" s="14" t="s">
        <v>4430</v>
      </c>
      <c r="G1884" s="11"/>
      <c r="H1884" s="11"/>
      <c r="I1884" s="12">
        <v>0</v>
      </c>
      <c r="J1884" s="12">
        <v>0</v>
      </c>
      <c r="K1884" s="13" t="str">
        <f>HYPERLINK("http://twitter.com","Twitter Web Client")</f>
        <v>Twitter Web Client</v>
      </c>
      <c r="L1884" s="12">
        <v>996</v>
      </c>
      <c r="M1884" s="12">
        <v>147</v>
      </c>
      <c r="N1884" s="12">
        <v>57</v>
      </c>
      <c r="O1884" s="15"/>
      <c r="P1884" s="6">
        <v>40113.134293981479</v>
      </c>
      <c r="Q1884" s="11"/>
      <c r="R1884" s="17" t="s">
        <v>4432</v>
      </c>
      <c r="S1884" s="14" t="s">
        <v>4434</v>
      </c>
      <c r="T1884" s="11"/>
      <c r="U1884" s="10" t="str">
        <f>HYPERLINK("https://pbs.twimg.com/profile_images/2734217543/978b02e5f133c58d3921446bca6596bb.jpeg","View")</f>
        <v>View</v>
      </c>
    </row>
    <row r="1885" spans="1:21" ht="40.799999999999997">
      <c r="A1885" s="6">
        <v>43425.080648148149</v>
      </c>
      <c r="B1885" s="7" t="str">
        <f>HYPERLINK("https://twitter.com/LUISJORDAN1959","@LUISJORDAN1959")</f>
        <v>@LUISJORDAN1959</v>
      </c>
      <c r="C1885" s="8" t="s">
        <v>7480</v>
      </c>
      <c r="D1885" s="9" t="s">
        <v>3000</v>
      </c>
      <c r="E1885" s="10" t="str">
        <f>HYPERLINK("https://twitter.com/LUISJORDAN1959/status/1065182063031144450","1065182063031144450")</f>
        <v>1065182063031144450</v>
      </c>
      <c r="F1885" s="14" t="s">
        <v>7481</v>
      </c>
      <c r="G1885" s="11"/>
      <c r="H1885" s="11"/>
      <c r="I1885" s="12">
        <v>0</v>
      </c>
      <c r="J1885" s="12">
        <v>0</v>
      </c>
      <c r="K1885" s="13" t="str">
        <f>HYPERLINK("http://www.facebook.com/twitter","Facebook")</f>
        <v>Facebook</v>
      </c>
      <c r="L1885" s="12">
        <v>1166</v>
      </c>
      <c r="M1885" s="12">
        <v>1930</v>
      </c>
      <c r="N1885" s="12">
        <v>39</v>
      </c>
      <c r="O1885" s="15"/>
      <c r="P1885" s="6">
        <v>40044.461388888885</v>
      </c>
      <c r="Q1885" s="16" t="s">
        <v>7482</v>
      </c>
      <c r="R1885" s="17" t="s">
        <v>7483</v>
      </c>
      <c r="S1885" s="14" t="s">
        <v>7484</v>
      </c>
      <c r="T1885" s="11"/>
      <c r="U1885" s="10" t="str">
        <f>HYPERLINK("https://pbs.twimg.com/profile_images/410975084/LUIS.jpg","View")</f>
        <v>View</v>
      </c>
    </row>
    <row r="1886" spans="1:21" ht="40.799999999999997">
      <c r="A1886" s="6">
        <v>43425.080034722225</v>
      </c>
      <c r="B1886" s="7" t="str">
        <f>HYPERLINK("https://twitter.com/JohnMisk","@JohnMisk")</f>
        <v>@JohnMisk</v>
      </c>
      <c r="C1886" s="8" t="s">
        <v>4435</v>
      </c>
      <c r="D1886" s="9" t="s">
        <v>4436</v>
      </c>
      <c r="E1886" s="10" t="str">
        <f>HYPERLINK("https://twitter.com/JohnMisk/status/1065181841320226822","1065181841320226822")</f>
        <v>1065181841320226822</v>
      </c>
      <c r="F1886" s="14" t="s">
        <v>1267</v>
      </c>
      <c r="G1886" s="11"/>
      <c r="H1886" s="11"/>
      <c r="I1886" s="12">
        <v>0</v>
      </c>
      <c r="J1886" s="12">
        <v>0</v>
      </c>
      <c r="K1886" s="13" t="str">
        <f>HYPERLINK("http://twitter.com","Twitter Web Client")</f>
        <v>Twitter Web Client</v>
      </c>
      <c r="L1886" s="12">
        <v>72</v>
      </c>
      <c r="M1886" s="12">
        <v>173</v>
      </c>
      <c r="N1886" s="12">
        <v>1</v>
      </c>
      <c r="O1886" s="15"/>
      <c r="P1886" s="6">
        <v>40632.31753472222</v>
      </c>
      <c r="Q1886" s="11"/>
      <c r="R1886" s="17" t="s">
        <v>4437</v>
      </c>
      <c r="S1886" s="11"/>
      <c r="T1886" s="11"/>
      <c r="U1886" s="10" t="str">
        <f>HYPERLINK("https://pbs.twimg.com/profile_images/1024228591633149952/1lEnkH-b.jpg","View")</f>
        <v>View</v>
      </c>
    </row>
    <row r="1887" spans="1:21" ht="40.799999999999997">
      <c r="A1887" s="6">
        <v>43425.078645833331</v>
      </c>
      <c r="B1887" s="7" t="str">
        <f>HYPERLINK("https://twitter.com/Jorge_Vilches","@Jorge_Vilches")</f>
        <v>@Jorge_Vilches</v>
      </c>
      <c r="C1887" s="8" t="s">
        <v>7485</v>
      </c>
      <c r="D1887" s="9" t="s">
        <v>7486</v>
      </c>
      <c r="E1887" s="10" t="str">
        <f>HYPERLINK("https://twitter.com/Jorge_Vilches/status/1065181338578427906","1065181338578427906")</f>
        <v>1065181338578427906</v>
      </c>
      <c r="F1887" s="11"/>
      <c r="G1887" s="11"/>
      <c r="H1887" s="11"/>
      <c r="I1887" s="12">
        <v>25</v>
      </c>
      <c r="J1887" s="12">
        <v>43</v>
      </c>
      <c r="K1887" s="13" t="str">
        <f t="shared" ref="K1887:K1888" si="402">HYPERLINK("http://twitter.com/download/android","Twitter for Android")</f>
        <v>Twitter for Android</v>
      </c>
      <c r="L1887" s="12">
        <v>6245</v>
      </c>
      <c r="M1887" s="12">
        <v>1407</v>
      </c>
      <c r="N1887" s="12">
        <v>116</v>
      </c>
      <c r="O1887" s="15"/>
      <c r="P1887" s="6">
        <v>40658.244849537034</v>
      </c>
      <c r="Q1887" s="16" t="s">
        <v>38</v>
      </c>
      <c r="R1887" s="17" t="s">
        <v>7487</v>
      </c>
      <c r="S1887" s="11"/>
      <c r="T1887" s="11"/>
      <c r="U1887" s="10" t="str">
        <f>HYPERLINK("https://pbs.twimg.com/profile_images/795722966529142784/7Uxkgv09.jpg","View")</f>
        <v>View</v>
      </c>
    </row>
    <row r="1888" spans="1:21" ht="40.799999999999997">
      <c r="A1888" s="6">
        <v>43425.07744212963</v>
      </c>
      <c r="B1888" s="7" t="str">
        <f>HYPERLINK("https://twitter.com/azotedelmonguer","@azotedelmonguer")</f>
        <v>@azotedelmonguer</v>
      </c>
      <c r="C1888" s="8" t="s">
        <v>4439</v>
      </c>
      <c r="D1888" s="9" t="s">
        <v>4440</v>
      </c>
      <c r="E1888" s="10" t="str">
        <f>HYPERLINK("https://twitter.com/azotedelmonguer/status/1065180901691334658","1065180901691334658")</f>
        <v>1065180901691334658</v>
      </c>
      <c r="F1888" s="14" t="s">
        <v>4441</v>
      </c>
      <c r="G1888" s="11"/>
      <c r="H1888" s="11"/>
      <c r="I1888" s="12">
        <v>0</v>
      </c>
      <c r="J1888" s="12">
        <v>0</v>
      </c>
      <c r="K1888" s="13" t="str">
        <f t="shared" si="402"/>
        <v>Twitter for Android</v>
      </c>
      <c r="L1888" s="12">
        <v>127</v>
      </c>
      <c r="M1888" s="12">
        <v>136</v>
      </c>
      <c r="N1888" s="12">
        <v>4</v>
      </c>
      <c r="O1888" s="15"/>
      <c r="P1888" s="6">
        <v>42981.739178240736</v>
      </c>
      <c r="Q1888" s="11"/>
      <c r="R1888" s="17" t="s">
        <v>4443</v>
      </c>
      <c r="S1888" s="11"/>
      <c r="T1888" s="11"/>
      <c r="U1888" s="10" t="str">
        <f>HYPERLINK("https://pbs.twimg.com/profile_images/999641268853485569/st2cULrx.jpg","View")</f>
        <v>View</v>
      </c>
    </row>
    <row r="1889" spans="1:21" ht="30.6">
      <c r="A1889" s="6">
        <v>43425.077349537038</v>
      </c>
      <c r="B1889" s="7" t="str">
        <f>HYPERLINK("https://twitter.com/pacomolinasss","@pacomolinasss")</f>
        <v>@pacomolinasss</v>
      </c>
      <c r="C1889" s="8" t="s">
        <v>7488</v>
      </c>
      <c r="D1889" s="9" t="s">
        <v>7489</v>
      </c>
      <c r="E1889" s="10" t="str">
        <f>HYPERLINK("https://twitter.com/pacomolinasss/status/1065180867650293760","1065180867650293760")</f>
        <v>1065180867650293760</v>
      </c>
      <c r="F1889" s="14" t="s">
        <v>7490</v>
      </c>
      <c r="G1889" s="11"/>
      <c r="H1889" s="11"/>
      <c r="I1889" s="12">
        <v>0</v>
      </c>
      <c r="J1889" s="12">
        <v>0</v>
      </c>
      <c r="K1889" s="13" t="str">
        <f>HYPERLINK("http://twitter.com","Twitter Web Client")</f>
        <v>Twitter Web Client</v>
      </c>
      <c r="L1889" s="12">
        <v>1097</v>
      </c>
      <c r="M1889" s="12">
        <v>2253</v>
      </c>
      <c r="N1889" s="12">
        <v>20</v>
      </c>
      <c r="O1889" s="15"/>
      <c r="P1889" s="6">
        <v>40820.430879629632</v>
      </c>
      <c r="Q1889" s="16" t="s">
        <v>7491</v>
      </c>
      <c r="R1889" s="17" t="s">
        <v>7492</v>
      </c>
      <c r="S1889" s="14" t="s">
        <v>7493</v>
      </c>
      <c r="T1889" s="11"/>
      <c r="U1889" s="10" t="str">
        <f>HYPERLINK("https://pbs.twimg.com/profile_images/1597869787/Diapositiva4.JPG","View")</f>
        <v>View</v>
      </c>
    </row>
    <row r="1890" spans="1:21" ht="20.399999999999999">
      <c r="A1890" s="6">
        <v>43425.077337962968</v>
      </c>
      <c r="B1890" s="7" t="str">
        <f>HYPERLINK("https://twitter.com/ArmandoVilan96","@ArmandoVilan96")</f>
        <v>@ArmandoVilan96</v>
      </c>
      <c r="C1890" s="8" t="s">
        <v>4444</v>
      </c>
      <c r="D1890" s="9" t="s">
        <v>4445</v>
      </c>
      <c r="E1890" s="10" t="str">
        <f>HYPERLINK("https://twitter.com/ArmandoVilan96/status/1065180863871283200","1065180863871283200")</f>
        <v>1065180863871283200</v>
      </c>
      <c r="F1890" s="11"/>
      <c r="G1890" s="14" t="s">
        <v>4446</v>
      </c>
      <c r="H1890" s="11"/>
      <c r="I1890" s="12">
        <v>0</v>
      </c>
      <c r="J1890" s="12">
        <v>1</v>
      </c>
      <c r="K1890" s="13" t="str">
        <f t="shared" ref="K1890:K1891" si="403">HYPERLINK("http://twitter.com/download/android","Twitter for Android")</f>
        <v>Twitter for Android</v>
      </c>
      <c r="L1890" s="12">
        <v>398</v>
      </c>
      <c r="M1890" s="12">
        <v>286</v>
      </c>
      <c r="N1890" s="12">
        <v>2</v>
      </c>
      <c r="O1890" s="15"/>
      <c r="P1890" s="6">
        <v>40890.283958333333</v>
      </c>
      <c r="Q1890" s="16" t="s">
        <v>4447</v>
      </c>
      <c r="R1890" s="17" t="s">
        <v>4448</v>
      </c>
      <c r="S1890" s="11"/>
      <c r="T1890" s="11"/>
      <c r="U1890" s="10" t="str">
        <f>HYPERLINK("https://pbs.twimg.com/profile_images/1017002872058376192/8pJjagOW.jpg","View")</f>
        <v>View</v>
      </c>
    </row>
    <row r="1891" spans="1:21" ht="40.799999999999997">
      <c r="A1891" s="6">
        <v>43425.075509259259</v>
      </c>
      <c r="B1891" s="7" t="str">
        <f>HYPERLINK("https://twitter.com/Weedfellas","@Weedfellas")</f>
        <v>@Weedfellas</v>
      </c>
      <c r="C1891" s="8" t="s">
        <v>7494</v>
      </c>
      <c r="D1891" s="9" t="s">
        <v>7495</v>
      </c>
      <c r="E1891" s="10" t="str">
        <f>HYPERLINK("https://twitter.com/Weedfellas/status/1065180198327455745","1065180198327455745")</f>
        <v>1065180198327455745</v>
      </c>
      <c r="F1891" s="11"/>
      <c r="G1891" s="11"/>
      <c r="H1891" s="11"/>
      <c r="I1891" s="12">
        <v>0</v>
      </c>
      <c r="J1891" s="12">
        <v>0</v>
      </c>
      <c r="K1891" s="13" t="str">
        <f t="shared" si="403"/>
        <v>Twitter for Android</v>
      </c>
      <c r="L1891" s="12">
        <v>204</v>
      </c>
      <c r="M1891" s="12">
        <v>661</v>
      </c>
      <c r="N1891" s="12">
        <v>0</v>
      </c>
      <c r="O1891" s="15"/>
      <c r="P1891" s="6">
        <v>41297.113726851851</v>
      </c>
      <c r="Q1891" s="11"/>
      <c r="R1891" s="17" t="s">
        <v>7496</v>
      </c>
      <c r="S1891" s="11"/>
      <c r="T1891" s="11"/>
      <c r="U1891" s="10" t="str">
        <f>HYPERLINK("https://pbs.twimg.com/profile_images/738853817643470848/GXUy3mOC.jpg","View")</f>
        <v>View</v>
      </c>
    </row>
    <row r="1892" spans="1:21" ht="51">
      <c r="A1892" s="6">
        <v>43425.074282407411</v>
      </c>
      <c r="B1892" s="7" t="str">
        <f>HYPERLINK("https://twitter.com/_ABallester","@_ABallester")</f>
        <v>@_ABallester</v>
      </c>
      <c r="C1892" s="8" t="s">
        <v>4449</v>
      </c>
      <c r="D1892" s="9" t="s">
        <v>4450</v>
      </c>
      <c r="E1892" s="10" t="str">
        <f>HYPERLINK("https://twitter.com/_ABallester/status/1065179757678129152","1065179757678129152")</f>
        <v>1065179757678129152</v>
      </c>
      <c r="F1892" s="11"/>
      <c r="G1892" s="14" t="s">
        <v>4451</v>
      </c>
      <c r="H1892" s="11"/>
      <c r="I1892" s="12">
        <v>3</v>
      </c>
      <c r="J1892" s="12">
        <v>6</v>
      </c>
      <c r="K1892" s="13" t="str">
        <f>HYPERLINK("http://twitter.com/download/iphone","Twitter for iPhone")</f>
        <v>Twitter for iPhone</v>
      </c>
      <c r="L1892" s="12">
        <v>7979</v>
      </c>
      <c r="M1892" s="12">
        <v>1262</v>
      </c>
      <c r="N1892" s="12">
        <v>146</v>
      </c>
      <c r="O1892" s="18" t="s">
        <v>52</v>
      </c>
      <c r="P1892" s="6">
        <v>40831.21947916667</v>
      </c>
      <c r="Q1892" s="16" t="s">
        <v>4452</v>
      </c>
      <c r="R1892" s="17" t="s">
        <v>4453</v>
      </c>
      <c r="S1892" s="14" t="s">
        <v>4454</v>
      </c>
      <c r="T1892" s="11"/>
      <c r="U1892" s="10" t="str">
        <f>HYPERLINK("https://pbs.twimg.com/profile_images/882568438056701957/i3lqkUSi.jpg","View")</f>
        <v>View</v>
      </c>
    </row>
    <row r="1893" spans="1:21" ht="40.799999999999997">
      <c r="A1893" s="6">
        <v>43425.072951388887</v>
      </c>
      <c r="B1893" s="7" t="str">
        <f>HYPERLINK("https://twitter.com/Congreso_Es","@Congreso_Es")</f>
        <v>@Congreso_Es</v>
      </c>
      <c r="C1893" s="8" t="s">
        <v>4455</v>
      </c>
      <c r="D1893" s="9" t="s">
        <v>4456</v>
      </c>
      <c r="E1893" s="10" t="str">
        <f>HYPERLINK("https://twitter.com/Congreso_Es/status/1065179271939928065","1065179271939928065")</f>
        <v>1065179271939928065</v>
      </c>
      <c r="F1893" s="14" t="s">
        <v>4457</v>
      </c>
      <c r="G1893" s="14" t="s">
        <v>4458</v>
      </c>
      <c r="H1893" s="11"/>
      <c r="I1893" s="12">
        <v>1</v>
      </c>
      <c r="J1893" s="12">
        <v>1</v>
      </c>
      <c r="K1893" s="13" t="str">
        <f t="shared" ref="K1893:K1894" si="404">HYPERLINK("http://twitter.com","Twitter Web Client")</f>
        <v>Twitter Web Client</v>
      </c>
      <c r="L1893" s="12">
        <v>174575</v>
      </c>
      <c r="M1893" s="12">
        <v>877</v>
      </c>
      <c r="N1893" s="12">
        <v>1659</v>
      </c>
      <c r="O1893" s="18" t="s">
        <v>52</v>
      </c>
      <c r="P1893" s="6">
        <v>39966.110127314816</v>
      </c>
      <c r="Q1893" s="16" t="s">
        <v>28</v>
      </c>
      <c r="R1893" s="17" t="s">
        <v>4460</v>
      </c>
      <c r="S1893" s="14" t="s">
        <v>4462</v>
      </c>
      <c r="T1893" s="11"/>
      <c r="U1893" s="10" t="str">
        <f>HYPERLINK("https://pbs.twimg.com/profile_images/1053411069492977664/iG3t9NEY.jpg","View")</f>
        <v>View</v>
      </c>
    </row>
    <row r="1894" spans="1:21" ht="51">
      <c r="A1894" s="6">
        <v>43425.072592592594</v>
      </c>
      <c r="B1894" s="7" t="str">
        <f>HYPERLINK("https://twitter.com/nachoalvarez_","@nachoalvarez_")</f>
        <v>@nachoalvarez_</v>
      </c>
      <c r="C1894" s="8" t="s">
        <v>4465</v>
      </c>
      <c r="D1894" s="9" t="s">
        <v>4466</v>
      </c>
      <c r="E1894" s="10" t="str">
        <f>HYPERLINK("https://twitter.com/nachoalvarez_/status/1065179141329362944","1065179141329362944")</f>
        <v>1065179141329362944</v>
      </c>
      <c r="F1894" s="11"/>
      <c r="G1894" s="14" t="s">
        <v>4468</v>
      </c>
      <c r="H1894" s="11"/>
      <c r="I1894" s="12">
        <v>483</v>
      </c>
      <c r="J1894" s="12">
        <v>679</v>
      </c>
      <c r="K1894" s="13" t="str">
        <f t="shared" si="404"/>
        <v>Twitter Web Client</v>
      </c>
      <c r="L1894" s="12">
        <v>9680</v>
      </c>
      <c r="M1894" s="12">
        <v>307</v>
      </c>
      <c r="N1894" s="12">
        <v>159</v>
      </c>
      <c r="O1894" s="15"/>
      <c r="P1894" s="6">
        <v>41942.089803240742</v>
      </c>
      <c r="Q1894" s="11"/>
      <c r="R1894" s="17" t="s">
        <v>4469</v>
      </c>
      <c r="S1894" s="14" t="s">
        <v>4470</v>
      </c>
      <c r="T1894" s="11"/>
      <c r="U1894" s="10" t="str">
        <f>HYPERLINK("https://pbs.twimg.com/profile_images/656634701919186945/nWNfnRWt.jpg","View")</f>
        <v>View</v>
      </c>
    </row>
    <row r="1895" spans="1:21" ht="61.2">
      <c r="A1895" s="6">
        <v>43425.069872685184</v>
      </c>
      <c r="B1895" s="7" t="str">
        <f>HYPERLINK("https://twitter.com/Malanga53","@Malanga53")</f>
        <v>@Malanga53</v>
      </c>
      <c r="C1895" s="8" t="s">
        <v>7497</v>
      </c>
      <c r="D1895" s="9" t="s">
        <v>7498</v>
      </c>
      <c r="E1895" s="10" t="str">
        <f>HYPERLINK("https://twitter.com/Malanga53/status/1065178156099878913","1065178156099878913")</f>
        <v>1065178156099878913</v>
      </c>
      <c r="F1895" s="14" t="s">
        <v>7499</v>
      </c>
      <c r="G1895" s="11"/>
      <c r="H1895" s="11"/>
      <c r="I1895" s="12">
        <v>0</v>
      </c>
      <c r="J1895" s="12">
        <v>0</v>
      </c>
      <c r="K1895" s="13" t="str">
        <f>HYPERLINK("http://twitter.com/download/android","Twitter for Android")</f>
        <v>Twitter for Android</v>
      </c>
      <c r="L1895" s="12">
        <v>79</v>
      </c>
      <c r="M1895" s="12">
        <v>199</v>
      </c>
      <c r="N1895" s="12">
        <v>0</v>
      </c>
      <c r="O1895" s="15"/>
      <c r="P1895" s="6">
        <v>41393.470833333333</v>
      </c>
      <c r="Q1895" s="11"/>
      <c r="R1895" s="17" t="s">
        <v>7500</v>
      </c>
      <c r="S1895" s="11"/>
      <c r="T1895" s="11"/>
      <c r="U1895" s="10" t="str">
        <f>HYPERLINK("https://pbs.twimg.com/profile_images/885989716805464064/EAzwrKIi.jpg","View")</f>
        <v>View</v>
      </c>
    </row>
    <row r="1896" spans="1:21" ht="40.799999999999997">
      <c r="A1896" s="6">
        <v>43425.069537037038</v>
      </c>
      <c r="B1896" s="7" t="str">
        <f>HYPERLINK("https://twitter.com/OrtizPrez","@OrtizPrez")</f>
        <v>@OrtizPrez</v>
      </c>
      <c r="C1896" s="8" t="s">
        <v>7501</v>
      </c>
      <c r="D1896" s="9" t="s">
        <v>7189</v>
      </c>
      <c r="E1896" s="10" t="str">
        <f>HYPERLINK("https://twitter.com/OrtizPrez/status/1065178036688039936","1065178036688039936")</f>
        <v>1065178036688039936</v>
      </c>
      <c r="F1896" s="14" t="s">
        <v>4200</v>
      </c>
      <c r="G1896" s="11"/>
      <c r="H1896" s="11"/>
      <c r="I1896" s="12">
        <v>0</v>
      </c>
      <c r="J1896" s="12">
        <v>0</v>
      </c>
      <c r="K1896" s="13" t="str">
        <f>HYPERLINK("http://twitter.com","Twitter Web Client")</f>
        <v>Twitter Web Client</v>
      </c>
      <c r="L1896" s="12">
        <v>755</v>
      </c>
      <c r="M1896" s="12">
        <v>894</v>
      </c>
      <c r="N1896" s="12">
        <v>10</v>
      </c>
      <c r="O1896" s="15"/>
      <c r="P1896" s="6">
        <v>40827.180219907408</v>
      </c>
      <c r="Q1896" s="16" t="s">
        <v>28</v>
      </c>
      <c r="R1896" s="17" t="s">
        <v>7502</v>
      </c>
      <c r="S1896" s="11"/>
      <c r="T1896" s="11"/>
      <c r="U1896" s="10" t="str">
        <f>HYPERLINK("https://pbs.twimg.com/profile_images/378800000273502463/dd67849542b55c148c271d885e233633.jpeg","View")</f>
        <v>View</v>
      </c>
    </row>
    <row r="1897" spans="1:21" ht="30.6">
      <c r="A1897" s="6">
        <v>43425.069351851853</v>
      </c>
      <c r="B1897" s="7" t="str">
        <f>HYPERLINK("https://twitter.com/The7Serpare","@The7Serpare")</f>
        <v>@The7Serpare</v>
      </c>
      <c r="C1897" s="8" t="s">
        <v>7503</v>
      </c>
      <c r="D1897" s="9" t="s">
        <v>7504</v>
      </c>
      <c r="E1897" s="10" t="str">
        <f>HYPERLINK("https://twitter.com/The7Serpare/status/1065177969000415232","1065177969000415232")</f>
        <v>1065177969000415232</v>
      </c>
      <c r="F1897" s="16" t="s">
        <v>7505</v>
      </c>
      <c r="G1897" s="11"/>
      <c r="H1897" s="11"/>
      <c r="I1897" s="12">
        <v>1</v>
      </c>
      <c r="J1897" s="12">
        <v>2</v>
      </c>
      <c r="K1897" s="13" t="str">
        <f t="shared" ref="K1897:K1898" si="405">HYPERLINK("http://twitter.com/download/android","Twitter for Android")</f>
        <v>Twitter for Android</v>
      </c>
      <c r="L1897" s="12">
        <v>621</v>
      </c>
      <c r="M1897" s="12">
        <v>80</v>
      </c>
      <c r="N1897" s="12">
        <v>6</v>
      </c>
      <c r="O1897" s="15"/>
      <c r="P1897" s="6">
        <v>41187.411944444444</v>
      </c>
      <c r="Q1897" s="16" t="s">
        <v>5474</v>
      </c>
      <c r="R1897" s="17" t="s">
        <v>7506</v>
      </c>
      <c r="S1897" s="14" t="s">
        <v>7507</v>
      </c>
      <c r="T1897" s="11"/>
      <c r="U1897" s="10" t="str">
        <f>HYPERLINK("https://pbs.twimg.com/profile_images/953024653760585728/1-qmn0wx.jpg","View")</f>
        <v>View</v>
      </c>
    </row>
    <row r="1898" spans="1:21" ht="51">
      <c r="A1898" s="6">
        <v>43425.06832175926</v>
      </c>
      <c r="B1898" s="7" t="str">
        <f>HYPERLINK("https://twitter.com/Bosnio78EL","@Bosnio78EL")</f>
        <v>@Bosnio78EL</v>
      </c>
      <c r="C1898" s="8" t="s">
        <v>3469</v>
      </c>
      <c r="D1898" s="9" t="s">
        <v>4473</v>
      </c>
      <c r="E1898" s="10" t="str">
        <f>HYPERLINK("https://twitter.com/Bosnio78EL/status/1065177594151223297","1065177594151223297")</f>
        <v>1065177594151223297</v>
      </c>
      <c r="F1898" s="11"/>
      <c r="G1898" s="11"/>
      <c r="H1898" s="11"/>
      <c r="I1898" s="12">
        <v>0</v>
      </c>
      <c r="J1898" s="12">
        <v>0</v>
      </c>
      <c r="K1898" s="13" t="str">
        <f t="shared" si="405"/>
        <v>Twitter for Android</v>
      </c>
      <c r="L1898" s="12">
        <v>47</v>
      </c>
      <c r="M1898" s="12">
        <v>202</v>
      </c>
      <c r="N1898" s="12">
        <v>0</v>
      </c>
      <c r="O1898" s="15"/>
      <c r="P1898" s="6">
        <v>41670.417407407411</v>
      </c>
      <c r="Q1898" s="11"/>
      <c r="R1898" s="19"/>
      <c r="S1898" s="11"/>
      <c r="T1898" s="11"/>
      <c r="U1898" s="10" t="str">
        <f>HYPERLINK("https://pbs.twimg.com/profile_images/917129243548639232/7KkW0DJ8.jpg","View")</f>
        <v>View</v>
      </c>
    </row>
    <row r="1899" spans="1:21" ht="40.799999999999997">
      <c r="A1899" s="6">
        <v>43425.068148148144</v>
      </c>
      <c r="B1899" s="7" t="str">
        <f>HYPERLINK("https://twitter.com/Raul_Ordonez","@Raul_Ordonez")</f>
        <v>@Raul_Ordonez</v>
      </c>
      <c r="C1899" s="8" t="s">
        <v>7508</v>
      </c>
      <c r="D1899" s="9" t="s">
        <v>1787</v>
      </c>
      <c r="E1899" s="10" t="str">
        <f>HYPERLINK("https://twitter.com/Raul_Ordonez/status/1065177533853954048","1065177533853954048")</f>
        <v>1065177533853954048</v>
      </c>
      <c r="F1899" s="14" t="s">
        <v>1788</v>
      </c>
      <c r="G1899" s="11"/>
      <c r="H1899" s="11"/>
      <c r="I1899" s="12">
        <v>5</v>
      </c>
      <c r="J1899" s="12">
        <v>5</v>
      </c>
      <c r="K1899" s="13" t="str">
        <f t="shared" ref="K1899:K1901" si="406">HYPERLINK("http://twitter.com","Twitter Web Client")</f>
        <v>Twitter Web Client</v>
      </c>
      <c r="L1899" s="12">
        <v>2699</v>
      </c>
      <c r="M1899" s="12">
        <v>718</v>
      </c>
      <c r="N1899" s="12">
        <v>47</v>
      </c>
      <c r="O1899" s="15"/>
      <c r="P1899" s="6">
        <v>40924.439849537041</v>
      </c>
      <c r="Q1899" s="16" t="s">
        <v>6485</v>
      </c>
      <c r="R1899" s="17" t="s">
        <v>7509</v>
      </c>
      <c r="S1899" s="14" t="s">
        <v>7510</v>
      </c>
      <c r="T1899" s="11"/>
      <c r="U1899" s="10" t="str">
        <f>HYPERLINK("https://pbs.twimg.com/profile_images/1789401081/raul_ordonez.jpg","View")</f>
        <v>View</v>
      </c>
    </row>
    <row r="1900" spans="1:21" ht="81.599999999999994">
      <c r="A1900" s="6">
        <v>43425.066446759258</v>
      </c>
      <c r="B1900" s="7" t="str">
        <f>HYPERLINK("https://twitter.com/WilliamRLark","@WilliamRLark")</f>
        <v>@WilliamRLark</v>
      </c>
      <c r="C1900" s="8" t="s">
        <v>4474</v>
      </c>
      <c r="D1900" s="9" t="s">
        <v>4475</v>
      </c>
      <c r="E1900" s="10" t="str">
        <f>HYPERLINK("https://twitter.com/WilliamRLark/status/1065176915630325760","1065176915630325760")</f>
        <v>1065176915630325760</v>
      </c>
      <c r="F1900" s="14" t="s">
        <v>4476</v>
      </c>
      <c r="G1900" s="11"/>
      <c r="H1900" s="11"/>
      <c r="I1900" s="12">
        <v>4</v>
      </c>
      <c r="J1900" s="12">
        <v>1</v>
      </c>
      <c r="K1900" s="13" t="str">
        <f t="shared" si="406"/>
        <v>Twitter Web Client</v>
      </c>
      <c r="L1900" s="12">
        <v>1623</v>
      </c>
      <c r="M1900" s="12">
        <v>742</v>
      </c>
      <c r="N1900" s="12">
        <v>17</v>
      </c>
      <c r="O1900" s="15"/>
      <c r="P1900" s="6">
        <v>42683.653541666667</v>
      </c>
      <c r="Q1900" s="16" t="s">
        <v>87</v>
      </c>
      <c r="R1900" s="17" t="s">
        <v>4477</v>
      </c>
      <c r="S1900" s="14" t="s">
        <v>4478</v>
      </c>
      <c r="T1900" s="11"/>
      <c r="U1900" s="10" t="str">
        <f>HYPERLINK("https://pbs.twimg.com/profile_images/1012428669271322624/OPIHHxTp.jpg","View")</f>
        <v>View</v>
      </c>
    </row>
    <row r="1901" spans="1:21" ht="61.2">
      <c r="A1901" s="6">
        <v>43425.065208333333</v>
      </c>
      <c r="B1901" s="7" t="str">
        <f>HYPERLINK("https://twitter.com/miquelroig","@miquelroig")</f>
        <v>@miquelroig</v>
      </c>
      <c r="C1901" s="8" t="s">
        <v>4480</v>
      </c>
      <c r="D1901" s="9" t="s">
        <v>4481</v>
      </c>
      <c r="E1901" s="10" t="str">
        <f>HYPERLINK("https://twitter.com/miquelroig/status/1065176468827852801","1065176468827852801")</f>
        <v>1065176468827852801</v>
      </c>
      <c r="F1901" s="11"/>
      <c r="G1901" s="11"/>
      <c r="H1901" s="11"/>
      <c r="I1901" s="12">
        <v>79</v>
      </c>
      <c r="J1901" s="12">
        <v>79</v>
      </c>
      <c r="K1901" s="13" t="str">
        <f t="shared" si="406"/>
        <v>Twitter Web Client</v>
      </c>
      <c r="L1901" s="12">
        <v>24503</v>
      </c>
      <c r="M1901" s="12">
        <v>1327</v>
      </c>
      <c r="N1901" s="12">
        <v>1064</v>
      </c>
      <c r="O1901" s="15"/>
      <c r="P1901" s="6">
        <v>39776.59211805556</v>
      </c>
      <c r="Q1901" s="16" t="s">
        <v>4482</v>
      </c>
      <c r="R1901" s="17" t="s">
        <v>4483</v>
      </c>
      <c r="S1901" s="14" t="s">
        <v>4484</v>
      </c>
      <c r="T1901" s="11"/>
      <c r="U1901" s="10" t="str">
        <f>HYPERLINK("https://pbs.twimg.com/profile_images/712753429282742272/Jf5CdH5f.jpg","View")</f>
        <v>View</v>
      </c>
    </row>
    <row r="1902" spans="1:21" ht="20.399999999999999">
      <c r="A1902" s="6">
        <v>43425.064849537041</v>
      </c>
      <c r="B1902" s="7" t="str">
        <f>HYPERLINK("https://twitter.com/PodemosCongreso","@PodemosCongreso")</f>
        <v>@PodemosCongreso</v>
      </c>
      <c r="C1902" s="8" t="s">
        <v>4485</v>
      </c>
      <c r="D1902" s="9" t="s">
        <v>4486</v>
      </c>
      <c r="E1902" s="10" t="str">
        <f>HYPERLINK("https://twitter.com/PodemosCongreso/status/1065176337206444032","1065176337206444032")</f>
        <v>1065176337206444032</v>
      </c>
      <c r="F1902" s="14" t="s">
        <v>4487</v>
      </c>
      <c r="G1902" s="14" t="s">
        <v>4488</v>
      </c>
      <c r="H1902" s="11"/>
      <c r="I1902" s="12">
        <v>17</v>
      </c>
      <c r="J1902" s="12">
        <v>19</v>
      </c>
      <c r="K1902" s="13" t="str">
        <f>HYPERLINK("https://studio.twitter.com","Media Studio")</f>
        <v>Media Studio</v>
      </c>
      <c r="L1902" s="12">
        <v>24464</v>
      </c>
      <c r="M1902" s="12">
        <v>987</v>
      </c>
      <c r="N1902" s="12">
        <v>288</v>
      </c>
      <c r="O1902" s="18" t="s">
        <v>52</v>
      </c>
      <c r="P1902" s="6">
        <v>42388.145625000005</v>
      </c>
      <c r="Q1902" s="11"/>
      <c r="R1902" s="17" t="s">
        <v>4489</v>
      </c>
      <c r="S1902" s="14" t="s">
        <v>4490</v>
      </c>
      <c r="T1902" s="11"/>
      <c r="U1902" s="10" t="str">
        <f>HYPERLINK("https://pbs.twimg.com/profile_images/1036944275748085760/MC4zMTIS.jpg","View")</f>
        <v>View</v>
      </c>
    </row>
    <row r="1903" spans="1:21" ht="30.6">
      <c r="A1903" s="6">
        <v>43425.062395833331</v>
      </c>
      <c r="B1903" s="7" t="str">
        <f>HYPERLINK("https://twitter.com/CanariasSemana1","@CanariasSemana1")</f>
        <v>@CanariasSemana1</v>
      </c>
      <c r="C1903" s="8" t="s">
        <v>7511</v>
      </c>
      <c r="D1903" s="9" t="s">
        <v>3816</v>
      </c>
      <c r="E1903" s="10" t="str">
        <f>HYPERLINK("https://twitter.com/CanariasSemana1/status/1065175449674940416","1065175449674940416")</f>
        <v>1065175449674940416</v>
      </c>
      <c r="F1903" s="14" t="s">
        <v>3817</v>
      </c>
      <c r="G1903" s="11"/>
      <c r="H1903" s="11"/>
      <c r="I1903" s="12">
        <v>1</v>
      </c>
      <c r="J1903" s="12">
        <v>0</v>
      </c>
      <c r="K1903" s="13" t="str">
        <f>HYPERLINK("http://twitter.com","Twitter Web Client")</f>
        <v>Twitter Web Client</v>
      </c>
      <c r="L1903" s="12">
        <v>624</v>
      </c>
      <c r="M1903" s="12">
        <v>83</v>
      </c>
      <c r="N1903" s="12">
        <v>27</v>
      </c>
      <c r="O1903" s="15"/>
      <c r="P1903" s="6">
        <v>40920.422592592593</v>
      </c>
      <c r="Q1903" s="11"/>
      <c r="R1903" s="19"/>
      <c r="S1903" s="14" t="s">
        <v>7512</v>
      </c>
      <c r="T1903" s="11"/>
      <c r="U1903" s="10" t="str">
        <f>HYPERLINK("https://pbs.twimg.com/profile_images/3147400106/a3f61ff33484a3cb964a92a991511653.jpeg","View")</f>
        <v>View</v>
      </c>
    </row>
    <row r="1904" spans="1:21" ht="30.6">
      <c r="A1904" s="6">
        <v>43425.061712962968</v>
      </c>
      <c r="B1904" s="7" t="str">
        <f>HYPERLINK("https://twitter.com/juan_roquetero","@juan_roquetero")</f>
        <v>@juan_roquetero</v>
      </c>
      <c r="C1904" s="8" t="s">
        <v>7513</v>
      </c>
      <c r="D1904" s="9" t="s">
        <v>7514</v>
      </c>
      <c r="E1904" s="10" t="str">
        <f>HYPERLINK("https://twitter.com/juan_roquetero/status/1065175202445840384","1065175202445840384")</f>
        <v>1065175202445840384</v>
      </c>
      <c r="F1904" s="14" t="s">
        <v>2122</v>
      </c>
      <c r="G1904" s="11"/>
      <c r="H1904" s="11"/>
      <c r="I1904" s="12">
        <v>0</v>
      </c>
      <c r="J1904" s="12">
        <v>0</v>
      </c>
      <c r="K1904" s="13" t="str">
        <f>HYPERLINK("http://twitter.com/download/iphone","Twitter for iPhone")</f>
        <v>Twitter for iPhone</v>
      </c>
      <c r="L1904" s="12">
        <v>1126</v>
      </c>
      <c r="M1904" s="12">
        <v>1123</v>
      </c>
      <c r="N1904" s="12">
        <v>13</v>
      </c>
      <c r="O1904" s="15"/>
      <c r="P1904" s="6">
        <v>42005.51697916667</v>
      </c>
      <c r="Q1904" s="16" t="s">
        <v>7515</v>
      </c>
      <c r="R1904" s="19"/>
      <c r="S1904" s="11"/>
      <c r="T1904" s="11"/>
      <c r="U1904" s="10" t="str">
        <f>HYPERLINK("https://pbs.twimg.com/profile_images/739398476711264256/Exdsu4XM.jpg","View")</f>
        <v>View</v>
      </c>
    </row>
    <row r="1905" spans="1:21" ht="91.8">
      <c r="A1905" s="6">
        <v>43425.060370370367</v>
      </c>
      <c r="B1905" s="7" t="str">
        <f>HYPERLINK("https://twitter.com/colintibs","@colintibs")</f>
        <v>@colintibs</v>
      </c>
      <c r="C1905" s="8" t="s">
        <v>7516</v>
      </c>
      <c r="D1905" s="9" t="s">
        <v>7517</v>
      </c>
      <c r="E1905" s="10" t="str">
        <f>HYPERLINK("https://twitter.com/colintibs/status/1065174716099555332","1065174716099555332")</f>
        <v>1065174716099555332</v>
      </c>
      <c r="F1905" s="16" t="s">
        <v>7518</v>
      </c>
      <c r="G1905" s="11"/>
      <c r="H1905" s="11"/>
      <c r="I1905" s="12">
        <v>0</v>
      </c>
      <c r="J1905" s="12">
        <v>0</v>
      </c>
      <c r="K1905" s="13" t="str">
        <f>HYPERLINK("https://mobile.twitter.com","Twitter Lite")</f>
        <v>Twitter Lite</v>
      </c>
      <c r="L1905" s="12">
        <v>412</v>
      </c>
      <c r="M1905" s="12">
        <v>882</v>
      </c>
      <c r="N1905" s="12">
        <v>8</v>
      </c>
      <c r="O1905" s="15"/>
      <c r="P1905" s="6">
        <v>40517.364247685182</v>
      </c>
      <c r="Q1905" s="16" t="s">
        <v>28</v>
      </c>
      <c r="R1905" s="19"/>
      <c r="S1905" s="11"/>
      <c r="T1905" s="11"/>
      <c r="U1905" s="10" t="str">
        <f>HYPERLINK("https://pbs.twimg.com/profile_images/882728809069522944/pk8L_WzJ.jpg","View")</f>
        <v>View</v>
      </c>
    </row>
    <row r="1906" spans="1:21" ht="20.399999999999999">
      <c r="A1906" s="6">
        <v>43425.05978009259</v>
      </c>
      <c r="B1906" s="7" t="str">
        <f>HYPERLINK("https://twitter.com/podemoshoy","@podemoshoy")</f>
        <v>@podemoshoy</v>
      </c>
      <c r="C1906" s="8" t="s">
        <v>7519</v>
      </c>
      <c r="D1906" s="9" t="s">
        <v>6996</v>
      </c>
      <c r="E1906" s="10" t="str">
        <f>HYPERLINK("https://twitter.com/podemoshoy/status/1065174500780662785","1065174500780662785")</f>
        <v>1065174500780662785</v>
      </c>
      <c r="F1906" s="14" t="s">
        <v>7520</v>
      </c>
      <c r="G1906" s="11"/>
      <c r="H1906" s="11"/>
      <c r="I1906" s="12">
        <v>0</v>
      </c>
      <c r="J1906" s="12">
        <v>0</v>
      </c>
      <c r="K1906" s="13" t="str">
        <f>HYPERLINK("https://dlvrit.com/","dlvr.it")</f>
        <v>dlvr.it</v>
      </c>
      <c r="L1906" s="12">
        <v>4584</v>
      </c>
      <c r="M1906" s="12">
        <v>3452</v>
      </c>
      <c r="N1906" s="12">
        <v>61</v>
      </c>
      <c r="O1906" s="15"/>
      <c r="P1906" s="6">
        <v>41901.261377314819</v>
      </c>
      <c r="Q1906" s="16" t="s">
        <v>7521</v>
      </c>
      <c r="R1906" s="17" t="s">
        <v>7522</v>
      </c>
      <c r="S1906" s="11"/>
      <c r="T1906" s="11"/>
      <c r="U1906" s="10" t="str">
        <f>HYPERLINK("https://pbs.twimg.com/profile_images/512954499820834817/RqSDR699.jpeg","View")</f>
        <v>View</v>
      </c>
    </row>
    <row r="1907" spans="1:21" ht="40.799999999999997">
      <c r="A1907" s="6">
        <v>43425.05773148148</v>
      </c>
      <c r="B1907" s="7" t="str">
        <f>HYPERLINK("https://twitter.com/EntreBorromeos","@EntreBorromeos")</f>
        <v>@EntreBorromeos</v>
      </c>
      <c r="C1907" s="8" t="s">
        <v>4491</v>
      </c>
      <c r="D1907" s="9" t="s">
        <v>4492</v>
      </c>
      <c r="E1907" s="10" t="str">
        <f>HYPERLINK("https://twitter.com/EntreBorromeos/status/1065173758858674176","1065173758858674176")</f>
        <v>1065173758858674176</v>
      </c>
      <c r="F1907" s="11"/>
      <c r="G1907" s="11"/>
      <c r="H1907" s="11"/>
      <c r="I1907" s="12">
        <v>110</v>
      </c>
      <c r="J1907" s="12">
        <v>57</v>
      </c>
      <c r="K1907" s="13" t="str">
        <f>HYPERLINK("http://twitter.com/download/iphone","Twitter for iPhone")</f>
        <v>Twitter for iPhone</v>
      </c>
      <c r="L1907" s="12">
        <v>4054</v>
      </c>
      <c r="M1907" s="12">
        <v>35</v>
      </c>
      <c r="N1907" s="12">
        <v>78</v>
      </c>
      <c r="O1907" s="15"/>
      <c r="P1907" s="6">
        <v>41584.078148148146</v>
      </c>
      <c r="Q1907" s="16" t="s">
        <v>318</v>
      </c>
      <c r="R1907" s="17" t="s">
        <v>4494</v>
      </c>
      <c r="S1907" s="14" t="s">
        <v>4496</v>
      </c>
      <c r="T1907" s="11"/>
      <c r="U1907" s="10" t="str">
        <f>HYPERLINK("https://pbs.twimg.com/profile_images/881952746303356928/xs4p8LKA.jpg","View")</f>
        <v>View</v>
      </c>
    </row>
    <row r="1908" spans="1:21" ht="30.6">
      <c r="A1908" s="6">
        <v>43425.057627314818</v>
      </c>
      <c r="B1908" s="7" t="str">
        <f>HYPERLINK("https://twitter.com/valesia2","@valesia2")</f>
        <v>@valesia2</v>
      </c>
      <c r="C1908" s="8" t="s">
        <v>1706</v>
      </c>
      <c r="D1908" s="9" t="s">
        <v>7189</v>
      </c>
      <c r="E1908" s="10" t="str">
        <f>HYPERLINK("https://twitter.com/valesia2/status/1065173721428697089","1065173721428697089")</f>
        <v>1065173721428697089</v>
      </c>
      <c r="F1908" s="14" t="s">
        <v>4200</v>
      </c>
      <c r="G1908" s="11"/>
      <c r="H1908" s="11"/>
      <c r="I1908" s="12">
        <v>0</v>
      </c>
      <c r="J1908" s="12">
        <v>1</v>
      </c>
      <c r="K1908" s="13" t="str">
        <f t="shared" ref="K1908:K1909" si="407">HYPERLINK("http://twitter.com/download/android","Twitter for Android")</f>
        <v>Twitter for Android</v>
      </c>
      <c r="L1908" s="12">
        <v>1576</v>
      </c>
      <c r="M1908" s="12">
        <v>1501</v>
      </c>
      <c r="N1908" s="12">
        <v>5</v>
      </c>
      <c r="O1908" s="15"/>
      <c r="P1908" s="6">
        <v>40495.470358796294</v>
      </c>
      <c r="Q1908" s="11"/>
      <c r="R1908" s="17" t="s">
        <v>1709</v>
      </c>
      <c r="S1908" s="11"/>
      <c r="T1908" s="11"/>
      <c r="U1908" s="10" t="str">
        <f>HYPERLINK("https://pbs.twimg.com/profile_images/959426220663496704/2x1GnkHD.jpg","View")</f>
        <v>View</v>
      </c>
    </row>
    <row r="1909" spans="1:21" ht="61.2">
      <c r="A1909" s="6">
        <v>43425.057511574079</v>
      </c>
      <c r="B1909" s="7" t="str">
        <f>HYPERLINK("https://twitter.com/Jorcaina01Jose","@Jorcaina01Jose")</f>
        <v>@Jorcaina01Jose</v>
      </c>
      <c r="C1909" s="8" t="s">
        <v>4169</v>
      </c>
      <c r="D1909" s="9" t="s">
        <v>4501</v>
      </c>
      <c r="E1909" s="10" t="str">
        <f>HYPERLINK("https://twitter.com/Jorcaina01Jose/status/1065173679510904832","1065173679510904832")</f>
        <v>1065173679510904832</v>
      </c>
      <c r="F1909" s="11"/>
      <c r="G1909" s="11"/>
      <c r="H1909" s="11"/>
      <c r="I1909" s="12">
        <v>0</v>
      </c>
      <c r="J1909" s="12">
        <v>0</v>
      </c>
      <c r="K1909" s="13" t="str">
        <f t="shared" si="407"/>
        <v>Twitter for Android</v>
      </c>
      <c r="L1909" s="12">
        <v>33</v>
      </c>
      <c r="M1909" s="12">
        <v>256</v>
      </c>
      <c r="N1909" s="12">
        <v>0</v>
      </c>
      <c r="O1909" s="15"/>
      <c r="P1909" s="6">
        <v>41044.623726851853</v>
      </c>
      <c r="Q1909" s="16" t="s">
        <v>4173</v>
      </c>
      <c r="R1909" s="17" t="s">
        <v>4174</v>
      </c>
      <c r="S1909" s="11"/>
      <c r="T1909" s="11"/>
      <c r="U1909" s="10" t="str">
        <f>HYPERLINK("https://pbs.twimg.com/profile_images/873419941818621952/dFCZ_5XL.jpg","View")</f>
        <v>View</v>
      </c>
    </row>
    <row r="1910" spans="1:21" ht="51">
      <c r="A1910" s="6">
        <v>43425.054907407408</v>
      </c>
      <c r="B1910" s="7" t="str">
        <f>HYPERLINK("https://twitter.com/RalRei","@RalRei")</f>
        <v>@RalRei</v>
      </c>
      <c r="C1910" s="8" t="s">
        <v>4503</v>
      </c>
      <c r="D1910" s="9" t="s">
        <v>4504</v>
      </c>
      <c r="E1910" s="10" t="str">
        <f>HYPERLINK("https://twitter.com/RalRei/status/1065172734001455104","1065172734001455104")</f>
        <v>1065172734001455104</v>
      </c>
      <c r="F1910" s="14" t="s">
        <v>4505</v>
      </c>
      <c r="G1910" s="11"/>
      <c r="H1910" s="11"/>
      <c r="I1910" s="12">
        <v>0</v>
      </c>
      <c r="J1910" s="12">
        <v>0</v>
      </c>
      <c r="K1910" s="13" t="str">
        <f>HYPERLINK("http://twitter.com/download/iphone","Twitter for iPhone")</f>
        <v>Twitter for iPhone</v>
      </c>
      <c r="L1910" s="12">
        <v>137</v>
      </c>
      <c r="M1910" s="12">
        <v>134</v>
      </c>
      <c r="N1910" s="12">
        <v>1</v>
      </c>
      <c r="O1910" s="15"/>
      <c r="P1910" s="6">
        <v>41778.829733796294</v>
      </c>
      <c r="Q1910" s="11"/>
      <c r="R1910" s="17" t="s">
        <v>4508</v>
      </c>
      <c r="S1910" s="11"/>
      <c r="T1910" s="11"/>
      <c r="U1910" s="10" t="str">
        <f>HYPERLINK("https://pbs.twimg.com/profile_images/952418957348229120/RtjT49bQ.jpg","View")</f>
        <v>View</v>
      </c>
    </row>
    <row r="1911" spans="1:21" ht="20.399999999999999">
      <c r="A1911" s="6">
        <v>43425.054733796293</v>
      </c>
      <c r="B1911" s="7" t="str">
        <f>HYPERLINK("https://twitter.com/kicomolero","@kicomolero")</f>
        <v>@kicomolero</v>
      </c>
      <c r="C1911" s="8" t="s">
        <v>7523</v>
      </c>
      <c r="D1911" s="9" t="s">
        <v>7524</v>
      </c>
      <c r="E1911" s="10" t="str">
        <f>HYPERLINK("https://twitter.com/kicomolero/status/1065172669656637440","1065172669656637440")</f>
        <v>1065172669656637440</v>
      </c>
      <c r="F1911" s="14" t="s">
        <v>4200</v>
      </c>
      <c r="G1911" s="11"/>
      <c r="H1911" s="11"/>
      <c r="I1911" s="12">
        <v>0</v>
      </c>
      <c r="J1911" s="12">
        <v>0</v>
      </c>
      <c r="K1911" s="13" t="str">
        <f>HYPERLINK("http://twitter.com/#!/download/ipad","Twitter for iPad")</f>
        <v>Twitter for iPad</v>
      </c>
      <c r="L1911" s="12">
        <v>355</v>
      </c>
      <c r="M1911" s="12">
        <v>491</v>
      </c>
      <c r="N1911" s="12">
        <v>7</v>
      </c>
      <c r="O1911" s="15"/>
      <c r="P1911" s="6">
        <v>40970.193124999998</v>
      </c>
      <c r="Q1911" s="16" t="s">
        <v>3637</v>
      </c>
      <c r="R1911" s="17" t="s">
        <v>7525</v>
      </c>
      <c r="S1911" s="11"/>
      <c r="T1911" s="11"/>
      <c r="U1911" s="10" t="str">
        <f>HYPERLINK("https://pbs.twimg.com/profile_images/540740836548698112/RnXldOt8.jpeg","View")</f>
        <v>View</v>
      </c>
    </row>
    <row r="1912" spans="1:21" ht="40.799999999999997">
      <c r="A1912" s="6">
        <v>43425.049953703703</v>
      </c>
      <c r="B1912" s="7" t="str">
        <f>HYPERLINK("https://twitter.com/Um7bjTw","@Um7bjTw")</f>
        <v>@Um7bjTw</v>
      </c>
      <c r="C1912" s="8" t="s">
        <v>7526</v>
      </c>
      <c r="D1912" s="9" t="s">
        <v>7527</v>
      </c>
      <c r="E1912" s="10" t="str">
        <f>HYPERLINK("https://twitter.com/Um7bjTw/status/1065170939145539584","1065170939145539584")</f>
        <v>1065170939145539584</v>
      </c>
      <c r="F1912" s="14" t="s">
        <v>7528</v>
      </c>
      <c r="G1912" s="11"/>
      <c r="H1912" s="11"/>
      <c r="I1912" s="12">
        <v>0</v>
      </c>
      <c r="J1912" s="12">
        <v>0</v>
      </c>
      <c r="K1912" s="13" t="str">
        <f>HYPERLINK("https://www.google.com/","Google")</f>
        <v>Google</v>
      </c>
      <c r="L1912" s="12">
        <v>802</v>
      </c>
      <c r="M1912" s="12">
        <v>441</v>
      </c>
      <c r="N1912" s="12">
        <v>7</v>
      </c>
      <c r="O1912" s="15"/>
      <c r="P1912" s="6">
        <v>42734.23572916667</v>
      </c>
      <c r="Q1912" s="11"/>
      <c r="R1912" s="17" t="s">
        <v>7529</v>
      </c>
      <c r="S1912" s="14" t="s">
        <v>7530</v>
      </c>
      <c r="T1912" s="11"/>
      <c r="U1912" s="10" t="str">
        <f>HYPERLINK("https://pbs.twimg.com/profile_images/1062421967184318464/y4ANpBOM.jpg","View")</f>
        <v>View</v>
      </c>
    </row>
    <row r="1913" spans="1:21" ht="51">
      <c r="A1913" s="6">
        <v>43425.049421296295</v>
      </c>
      <c r="B1913" s="7" t="str">
        <f>HYPERLINK("https://twitter.com/masconsulting","@masconsulting")</f>
        <v>@masconsulting</v>
      </c>
      <c r="C1913" s="8" t="s">
        <v>4510</v>
      </c>
      <c r="D1913" s="9" t="s">
        <v>4511</v>
      </c>
      <c r="E1913" s="10" t="str">
        <f>HYPERLINK("https://twitter.com/masconsulting/status/1065170746660532224","1065170746660532224")</f>
        <v>1065170746660532224</v>
      </c>
      <c r="F1913" s="14" t="s">
        <v>4512</v>
      </c>
      <c r="G1913" s="11"/>
      <c r="H1913" s="11"/>
      <c r="I1913" s="12">
        <v>0</v>
      </c>
      <c r="J1913" s="12">
        <v>0</v>
      </c>
      <c r="K1913" s="13" t="str">
        <f>HYPERLINK("http://twitter.com/download/iphone","Twitter for iPhone")</f>
        <v>Twitter for iPhone</v>
      </c>
      <c r="L1913" s="12">
        <v>9676</v>
      </c>
      <c r="M1913" s="12">
        <v>6312</v>
      </c>
      <c r="N1913" s="12">
        <v>434</v>
      </c>
      <c r="O1913" s="15"/>
      <c r="P1913" s="6">
        <v>40001.975694444445</v>
      </c>
      <c r="Q1913" s="11"/>
      <c r="R1913" s="17" t="s">
        <v>4513</v>
      </c>
      <c r="S1913" s="14" t="s">
        <v>4514</v>
      </c>
      <c r="T1913" s="11"/>
      <c r="U1913" s="10" t="str">
        <f>HYPERLINK("https://pbs.twimg.com/profile_images/1040271174188589056/TqBuCfn2.jpg","View")</f>
        <v>View</v>
      </c>
    </row>
    <row r="1914" spans="1:21" ht="81.599999999999994">
      <c r="A1914" s="6">
        <v>43425.048159722224</v>
      </c>
      <c r="B1914" s="7" t="str">
        <f>HYPERLINK("https://twitter.com/Andreiyiacosins","@Andreiyiacosins")</f>
        <v>@Andreiyiacosins</v>
      </c>
      <c r="C1914" s="8" t="s">
        <v>4515</v>
      </c>
      <c r="D1914" s="9" t="s">
        <v>4516</v>
      </c>
      <c r="E1914" s="10" t="str">
        <f>HYPERLINK("https://twitter.com/Andreiyiacosins/status/1065170288273485825","1065170288273485825")</f>
        <v>1065170288273485825</v>
      </c>
      <c r="F1914" s="14" t="s">
        <v>4517</v>
      </c>
      <c r="G1914" s="11"/>
      <c r="H1914" s="11"/>
      <c r="I1914" s="12">
        <v>0</v>
      </c>
      <c r="J1914" s="12">
        <v>0</v>
      </c>
      <c r="K1914" s="13" t="str">
        <f t="shared" ref="K1914:K1915" si="408">HYPERLINK("http://twitter.com/download/android","Twitter for Android")</f>
        <v>Twitter for Android</v>
      </c>
      <c r="L1914" s="12">
        <v>989</v>
      </c>
      <c r="M1914" s="12">
        <v>1640</v>
      </c>
      <c r="N1914" s="12">
        <v>0</v>
      </c>
      <c r="O1914" s="15"/>
      <c r="P1914" s="6">
        <v>42933.673888888894</v>
      </c>
      <c r="Q1914" s="11"/>
      <c r="R1914" s="17" t="s">
        <v>4518</v>
      </c>
      <c r="S1914" s="11"/>
      <c r="T1914" s="11"/>
      <c r="U1914" s="10" t="str">
        <f>HYPERLINK("https://pbs.twimg.com/profile_images/1052580947114233856/PswRfgva.jpg","View")</f>
        <v>View</v>
      </c>
    </row>
    <row r="1915" spans="1:21" ht="51">
      <c r="A1915" s="6">
        <v>43425.04277777778</v>
      </c>
      <c r="B1915" s="7" t="str">
        <f>HYPERLINK("https://twitter.com/mamen_baena_t","@mamen_baena_t")</f>
        <v>@mamen_baena_t</v>
      </c>
      <c r="C1915" s="8" t="s">
        <v>4521</v>
      </c>
      <c r="D1915" s="9" t="s">
        <v>4522</v>
      </c>
      <c r="E1915" s="10" t="str">
        <f>HYPERLINK("https://twitter.com/mamen_baena_t/status/1065168337603182592","1065168337603182592")</f>
        <v>1065168337603182592</v>
      </c>
      <c r="F1915" s="11"/>
      <c r="G1915" s="11"/>
      <c r="H1915" s="11"/>
      <c r="I1915" s="12">
        <v>0</v>
      </c>
      <c r="J1915" s="12">
        <v>0</v>
      </c>
      <c r="K1915" s="13" t="str">
        <f t="shared" si="408"/>
        <v>Twitter for Android</v>
      </c>
      <c r="L1915" s="12">
        <v>427</v>
      </c>
      <c r="M1915" s="12">
        <v>1947</v>
      </c>
      <c r="N1915" s="12">
        <v>5</v>
      </c>
      <c r="O1915" s="15"/>
      <c r="P1915" s="6">
        <v>40592.27416666667</v>
      </c>
      <c r="Q1915" s="11"/>
      <c r="R1915" s="19"/>
      <c r="S1915" s="11"/>
      <c r="T1915" s="11"/>
      <c r="U1915" s="10" t="str">
        <f>HYPERLINK("https://pbs.twimg.com/profile_images/1248119814/l_b04855cb8dc3904a69bda585b2b4b492.jpg","View")</f>
        <v>View</v>
      </c>
    </row>
    <row r="1916" spans="1:21" ht="81.599999999999994">
      <c r="A1916" s="6">
        <v>43425.041990740741</v>
      </c>
      <c r="B1916" s="7" t="str">
        <f>HYPERLINK("https://twitter.com/Isirpal","@Isirpal")</f>
        <v>@Isirpal</v>
      </c>
      <c r="C1916" s="8" t="s">
        <v>4524</v>
      </c>
      <c r="D1916" s="9" t="s">
        <v>4525</v>
      </c>
      <c r="E1916" s="10" t="str">
        <f>HYPERLINK("https://twitter.com/Isirpal/status/1065168053745401856","1065168053745401856")</f>
        <v>1065168053745401856</v>
      </c>
      <c r="F1916" s="14" t="s">
        <v>4526</v>
      </c>
      <c r="G1916" s="14" t="s">
        <v>4424</v>
      </c>
      <c r="H1916" s="11"/>
      <c r="I1916" s="12">
        <v>0</v>
      </c>
      <c r="J1916" s="12">
        <v>0</v>
      </c>
      <c r="K1916" s="13" t="str">
        <f>HYPERLINK("http://twitter.com","Twitter Web Client")</f>
        <v>Twitter Web Client</v>
      </c>
      <c r="L1916" s="12">
        <v>1225</v>
      </c>
      <c r="M1916" s="12">
        <v>824</v>
      </c>
      <c r="N1916" s="12">
        <v>16</v>
      </c>
      <c r="O1916" s="15"/>
      <c r="P1916" s="6">
        <v>41793.045451388891</v>
      </c>
      <c r="Q1916" s="16" t="s">
        <v>4527</v>
      </c>
      <c r="R1916" s="17" t="s">
        <v>4528</v>
      </c>
      <c r="S1916" s="11"/>
      <c r="T1916" s="11"/>
      <c r="U1916" s="10" t="str">
        <f>HYPERLINK("https://pbs.twimg.com/profile_images/992497268573065218/zmGhmDYV.jpg","View")</f>
        <v>View</v>
      </c>
    </row>
    <row r="1917" spans="1:21" ht="40.799999999999997">
      <c r="A1917" s="6">
        <v>43425.04179398148</v>
      </c>
      <c r="B1917" s="7" t="str">
        <f>HYPERLINK("https://twitter.com/AdeSiracusa","@AdeSiracusa")</f>
        <v>@AdeSiracusa</v>
      </c>
      <c r="C1917" s="8" t="s">
        <v>3890</v>
      </c>
      <c r="D1917" s="9" t="s">
        <v>7531</v>
      </c>
      <c r="E1917" s="10" t="str">
        <f>HYPERLINK("https://twitter.com/AdeSiracusa/status/1065167983197200384","1065167983197200384")</f>
        <v>1065167983197200384</v>
      </c>
      <c r="F1917" s="14" t="s">
        <v>7532</v>
      </c>
      <c r="G1917" s="11"/>
      <c r="H1917" s="11"/>
      <c r="I1917" s="12">
        <v>0</v>
      </c>
      <c r="J1917" s="12">
        <v>0</v>
      </c>
      <c r="K1917" s="13" t="str">
        <f>HYPERLINK("http://www.republicosvenezuela.com/","AdeSiracusa")</f>
        <v>AdeSiracusa</v>
      </c>
      <c r="L1917" s="12">
        <v>3920</v>
      </c>
      <c r="M1917" s="12">
        <v>3927</v>
      </c>
      <c r="N1917" s="12">
        <v>12</v>
      </c>
      <c r="O1917" s="15"/>
      <c r="P1917" s="6">
        <v>42958.201388888891</v>
      </c>
      <c r="Q1917" s="16" t="s">
        <v>3893</v>
      </c>
      <c r="R1917" s="17" t="s">
        <v>3894</v>
      </c>
      <c r="S1917" s="11"/>
      <c r="T1917" s="11"/>
      <c r="U1917" s="10" t="str">
        <f>HYPERLINK("https://pbs.twimg.com/profile_images/895978354591105024/x2wNXrPl.jpg","View")</f>
        <v>View</v>
      </c>
    </row>
    <row r="1918" spans="1:21" ht="20.399999999999999">
      <c r="A1918" s="6">
        <v>43425.040937500002</v>
      </c>
      <c r="B1918" s="7" t="str">
        <f>HYPERLINK("https://twitter.com/BombitaI","@BombitaI")</f>
        <v>@BombitaI</v>
      </c>
      <c r="C1918" s="8" t="s">
        <v>7533</v>
      </c>
      <c r="D1918" s="9" t="s">
        <v>7534</v>
      </c>
      <c r="E1918" s="10" t="str">
        <f>HYPERLINK("https://twitter.com/BombitaI/status/1065167669874343936","1065167669874343936")</f>
        <v>1065167669874343936</v>
      </c>
      <c r="F1918" s="14" t="s">
        <v>4200</v>
      </c>
      <c r="G1918" s="11"/>
      <c r="H1918" s="11"/>
      <c r="I1918" s="12">
        <v>0</v>
      </c>
      <c r="J1918" s="12">
        <v>1</v>
      </c>
      <c r="K1918" s="13" t="str">
        <f>HYPERLINK("http://twitter.com","Twitter Web Client")</f>
        <v>Twitter Web Client</v>
      </c>
      <c r="L1918" s="12">
        <v>17</v>
      </c>
      <c r="M1918" s="12">
        <v>53</v>
      </c>
      <c r="N1918" s="12">
        <v>0</v>
      </c>
      <c r="O1918" s="15"/>
      <c r="P1918" s="6">
        <v>43416.426145833335</v>
      </c>
      <c r="Q1918" s="11"/>
      <c r="R1918" s="17" t="s">
        <v>7535</v>
      </c>
      <c r="S1918" s="11"/>
      <c r="T1918" s="11"/>
      <c r="U1918" s="10" t="str">
        <f>HYPERLINK("https://pbs.twimg.com/profile_images/1062312953742016512/801wrgQY.jpg","View")</f>
        <v>View</v>
      </c>
    </row>
    <row r="1919" spans="1:21" ht="20.399999999999999">
      <c r="A1919" s="6">
        <v>43425.039224537039</v>
      </c>
      <c r="B1919" s="7" t="str">
        <f>HYPERLINK("https://twitter.com/SanidadUGTsa","@SanidadUGTsa")</f>
        <v>@SanidadUGTsa</v>
      </c>
      <c r="C1919" s="8" t="s">
        <v>7536</v>
      </c>
      <c r="D1919" s="9" t="s">
        <v>7537</v>
      </c>
      <c r="E1919" s="10" t="str">
        <f>HYPERLINK("https://twitter.com/SanidadUGTsa/status/1065167051059281920","1065167051059281920")</f>
        <v>1065167051059281920</v>
      </c>
      <c r="F1919" s="14" t="s">
        <v>7538</v>
      </c>
      <c r="G1919" s="11"/>
      <c r="H1919" s="11"/>
      <c r="I1919" s="12">
        <v>0</v>
      </c>
      <c r="J1919" s="12">
        <v>0</v>
      </c>
      <c r="K1919" s="13" t="str">
        <f>HYPERLINK("http://www.facebook.com/twitter","Facebook")</f>
        <v>Facebook</v>
      </c>
      <c r="L1919" s="12">
        <v>67</v>
      </c>
      <c r="M1919" s="12">
        <v>151</v>
      </c>
      <c r="N1919" s="12">
        <v>1</v>
      </c>
      <c r="O1919" s="15"/>
      <c r="P1919" s="6">
        <v>42776.162569444445</v>
      </c>
      <c r="Q1919" s="16" t="s">
        <v>7539</v>
      </c>
      <c r="R1919" s="19"/>
      <c r="S1919" s="11"/>
      <c r="T1919" s="11"/>
      <c r="U1919" s="10" t="str">
        <f>HYPERLINK("https://pbs.twimg.com/profile_images/908297200874217472/l6I9wDvy.jpg","View")</f>
        <v>View</v>
      </c>
    </row>
    <row r="1920" spans="1:21" ht="30.6">
      <c r="A1920" s="6">
        <v>43425.038831018523</v>
      </c>
      <c r="B1920" s="7" t="str">
        <f>HYPERLINK("https://twitter.com/gattaca3421","@gattaca3421")</f>
        <v>@gattaca3421</v>
      </c>
      <c r="C1920" s="8" t="s">
        <v>5679</v>
      </c>
      <c r="D1920" s="9" t="s">
        <v>7540</v>
      </c>
      <c r="E1920" s="10" t="str">
        <f>HYPERLINK("https://twitter.com/gattaca3421/status/1065166906926264321","1065166906926264321")</f>
        <v>1065166906926264321</v>
      </c>
      <c r="F1920" s="14" t="s">
        <v>4200</v>
      </c>
      <c r="G1920" s="11"/>
      <c r="H1920" s="11"/>
      <c r="I1920" s="12">
        <v>0</v>
      </c>
      <c r="J1920" s="12">
        <v>0</v>
      </c>
      <c r="K1920" s="13" t="str">
        <f t="shared" ref="K1920:K1921" si="409">HYPERLINK("http://twitter.com","Twitter Web Client")</f>
        <v>Twitter Web Client</v>
      </c>
      <c r="L1920" s="12">
        <v>3184</v>
      </c>
      <c r="M1920" s="12">
        <v>3382</v>
      </c>
      <c r="N1920" s="12">
        <v>10</v>
      </c>
      <c r="O1920" s="15"/>
      <c r="P1920" s="6">
        <v>42431.077407407407</v>
      </c>
      <c r="Q1920" s="16" t="s">
        <v>87</v>
      </c>
      <c r="R1920" s="17" t="s">
        <v>5680</v>
      </c>
      <c r="S1920" s="11"/>
      <c r="T1920" s="11"/>
      <c r="U1920" s="10" t="str">
        <f>HYPERLINK("https://pbs.twimg.com/profile_images/735132917777719297/Puy3lw5p.jpg","View")</f>
        <v>View</v>
      </c>
    </row>
    <row r="1921" spans="1:21" ht="40.799999999999997">
      <c r="A1921" s="6">
        <v>43425.035474537042</v>
      </c>
      <c r="B1921" s="7" t="str">
        <f>HYPERLINK("https://twitter.com/Senguix","@Senguix")</f>
        <v>@Senguix</v>
      </c>
      <c r="C1921" s="8" t="s">
        <v>4529</v>
      </c>
      <c r="D1921" s="9" t="s">
        <v>4530</v>
      </c>
      <c r="E1921" s="10" t="str">
        <f>HYPERLINK("https://twitter.com/Senguix/status/1065165693316988929","1065165693316988929")</f>
        <v>1065165693316988929</v>
      </c>
      <c r="F1921" s="11"/>
      <c r="G1921" s="14" t="s">
        <v>4531</v>
      </c>
      <c r="H1921" s="11"/>
      <c r="I1921" s="12">
        <v>51</v>
      </c>
      <c r="J1921" s="12">
        <v>68</v>
      </c>
      <c r="K1921" s="13" t="str">
        <f t="shared" si="409"/>
        <v>Twitter Web Client</v>
      </c>
      <c r="L1921" s="12">
        <v>8624</v>
      </c>
      <c r="M1921" s="12">
        <v>1124</v>
      </c>
      <c r="N1921" s="12">
        <v>216</v>
      </c>
      <c r="O1921" s="15"/>
      <c r="P1921" s="6">
        <v>40232.645787037036</v>
      </c>
      <c r="Q1921" s="16" t="s">
        <v>378</v>
      </c>
      <c r="R1921" s="17" t="s">
        <v>4535</v>
      </c>
      <c r="S1921" s="11"/>
      <c r="T1921" s="11"/>
      <c r="U1921" s="10" t="str">
        <f>HYPERLINK("https://pbs.twimg.com/profile_images/816875847772762112/bLQeivTf.jpg","View")</f>
        <v>View</v>
      </c>
    </row>
    <row r="1922" spans="1:21" ht="13.2">
      <c r="A1922" s="6">
        <v>43425.03225694444</v>
      </c>
      <c r="B1922" s="7" t="str">
        <f>HYPERLINK("https://twitter.com/Podemoscazorla","@Podemoscazorla")</f>
        <v>@Podemoscazorla</v>
      </c>
      <c r="C1922" s="8" t="s">
        <v>7541</v>
      </c>
      <c r="D1922" s="9" t="s">
        <v>7542</v>
      </c>
      <c r="E1922" s="10" t="str">
        <f>HYPERLINK("https://twitter.com/Podemoscazorla/status/1065164526834933760","1065164526834933760")</f>
        <v>1065164526834933760</v>
      </c>
      <c r="F1922" s="14" t="s">
        <v>7543</v>
      </c>
      <c r="G1922" s="11"/>
      <c r="H1922" s="11"/>
      <c r="I1922" s="12">
        <v>0</v>
      </c>
      <c r="J1922" s="12">
        <v>0</v>
      </c>
      <c r="K1922" s="13" t="str">
        <f>HYPERLINK("http://www.facebook.com/twitter","Facebook")</f>
        <v>Facebook</v>
      </c>
      <c r="L1922" s="12">
        <v>1998</v>
      </c>
      <c r="M1922" s="12">
        <v>817</v>
      </c>
      <c r="N1922" s="12">
        <v>27</v>
      </c>
      <c r="O1922" s="15"/>
      <c r="P1922" s="6">
        <v>41758.201423611114</v>
      </c>
      <c r="Q1922" s="11"/>
      <c r="R1922" s="19"/>
      <c r="S1922" s="11"/>
      <c r="T1922" s="11"/>
      <c r="U1922" s="10" t="str">
        <f>HYPERLINK("https://pbs.twimg.com/profile_images/1015169995809189888/7TbrVCxt.jpg","View")</f>
        <v>View</v>
      </c>
    </row>
    <row r="1923" spans="1:21" ht="40.799999999999997">
      <c r="A1923" s="6">
        <v>43425.031689814816</v>
      </c>
      <c r="B1923" s="7" t="str">
        <f>HYPERLINK("https://twitter.com/buen_ppero","@buen_ppero")</f>
        <v>@buen_ppero</v>
      </c>
      <c r="C1923" s="8" t="s">
        <v>4537</v>
      </c>
      <c r="D1923" s="9" t="s">
        <v>4538</v>
      </c>
      <c r="E1923" s="10" t="str">
        <f>HYPERLINK("https://twitter.com/buen_ppero/status/1065164321976655873","1065164321976655873")</f>
        <v>1065164321976655873</v>
      </c>
      <c r="F1923" s="11"/>
      <c r="G1923" s="11"/>
      <c r="H1923" s="11"/>
      <c r="I1923" s="12">
        <v>0</v>
      </c>
      <c r="J1923" s="12">
        <v>0</v>
      </c>
      <c r="K1923" s="13" t="str">
        <f>HYPERLINK("http://twitter.com/download/iphone","Twitter for iPhone")</f>
        <v>Twitter for iPhone</v>
      </c>
      <c r="L1923" s="12">
        <v>24</v>
      </c>
      <c r="M1923" s="12">
        <v>100</v>
      </c>
      <c r="N1923" s="12">
        <v>1</v>
      </c>
      <c r="O1923" s="15"/>
      <c r="P1923" s="6">
        <v>42706.628368055557</v>
      </c>
      <c r="Q1923" s="16" t="s">
        <v>87</v>
      </c>
      <c r="R1923" s="17" t="s">
        <v>4539</v>
      </c>
      <c r="S1923" s="11"/>
      <c r="T1923" s="11"/>
      <c r="U1923" s="10" t="str">
        <f>HYPERLINK("https://pbs.twimg.com/profile_images/804826205363011588/_nTm3teb.jpg","View")</f>
        <v>View</v>
      </c>
    </row>
    <row r="1924" spans="1:21" ht="30.6">
      <c r="A1924" s="6">
        <v>43425.026689814811</v>
      </c>
      <c r="B1924" s="7" t="str">
        <f>HYPERLINK("https://twitter.com/jackie_alberto","@jackie_alberto")</f>
        <v>@jackie_alberto</v>
      </c>
      <c r="C1924" s="8" t="s">
        <v>7544</v>
      </c>
      <c r="D1924" s="9" t="s">
        <v>7189</v>
      </c>
      <c r="E1924" s="10" t="str">
        <f>HYPERLINK("https://twitter.com/jackie_alberto/status/1065162509160730626","1065162509160730626")</f>
        <v>1065162509160730626</v>
      </c>
      <c r="F1924" s="14" t="s">
        <v>4200</v>
      </c>
      <c r="G1924" s="11"/>
      <c r="H1924" s="11"/>
      <c r="I1924" s="12">
        <v>0</v>
      </c>
      <c r="J1924" s="12">
        <v>0</v>
      </c>
      <c r="K1924" s="13" t="str">
        <f>HYPERLINK("http://twitter.com","Twitter Web Client")</f>
        <v>Twitter Web Client</v>
      </c>
      <c r="L1924" s="12">
        <v>28</v>
      </c>
      <c r="M1924" s="12">
        <v>219</v>
      </c>
      <c r="N1924" s="12">
        <v>0</v>
      </c>
      <c r="O1924" s="15"/>
      <c r="P1924" s="6">
        <v>41415.345219907409</v>
      </c>
      <c r="Q1924" s="11"/>
      <c r="R1924" s="17" t="s">
        <v>7545</v>
      </c>
      <c r="S1924" s="11"/>
      <c r="T1924" s="11"/>
      <c r="U1924" s="10" t="str">
        <f>HYPERLINK("https://pbs.twimg.com/profile_images/909733079308218368/vmYnoraN.jpg","View")</f>
        <v>View</v>
      </c>
    </row>
    <row r="1925" spans="1:21" ht="61.2">
      <c r="A1925" s="6">
        <v>43425.02652777778</v>
      </c>
      <c r="B1925" s="7" t="str">
        <f>HYPERLINK("https://twitter.com/carlos_hem","@carlos_hem")</f>
        <v>@carlos_hem</v>
      </c>
      <c r="C1925" s="8" t="s">
        <v>7546</v>
      </c>
      <c r="D1925" s="9" t="s">
        <v>7547</v>
      </c>
      <c r="E1925" s="10" t="str">
        <f>HYPERLINK("https://twitter.com/carlos_hem/status/1065162451782647808","1065162451782647808")</f>
        <v>1065162451782647808</v>
      </c>
      <c r="F1925" s="16" t="s">
        <v>7548</v>
      </c>
      <c r="G1925" s="11"/>
      <c r="H1925" s="11"/>
      <c r="I1925" s="12">
        <v>0</v>
      </c>
      <c r="J1925" s="12">
        <v>4</v>
      </c>
      <c r="K1925" s="13" t="str">
        <f>HYPERLINK("http://twitter.com/download/android","Twitter for Android")</f>
        <v>Twitter for Android</v>
      </c>
      <c r="L1925" s="12">
        <v>3358</v>
      </c>
      <c r="M1925" s="12">
        <v>2278</v>
      </c>
      <c r="N1925" s="12">
        <v>99</v>
      </c>
      <c r="O1925" s="15"/>
      <c r="P1925" s="6">
        <v>40259.367534722223</v>
      </c>
      <c r="Q1925" s="11"/>
      <c r="R1925" s="17" t="s">
        <v>7549</v>
      </c>
      <c r="S1925" s="14" t="s">
        <v>7550</v>
      </c>
      <c r="T1925" s="11"/>
      <c r="U1925" s="10" t="str">
        <f>HYPERLINK("https://pbs.twimg.com/profile_images/843205616256630784/he0TUIis.jpg","View")</f>
        <v>View</v>
      </c>
    </row>
    <row r="1926" spans="1:21" ht="20.399999999999999">
      <c r="A1926" s="6">
        <v>43425.026458333334</v>
      </c>
      <c r="B1926" s="7" t="str">
        <f>HYPERLINK("https://twitter.com/lolapastur","@lolapastur")</f>
        <v>@lolapastur</v>
      </c>
      <c r="C1926" s="8" t="s">
        <v>7551</v>
      </c>
      <c r="D1926" s="9" t="s">
        <v>7189</v>
      </c>
      <c r="E1926" s="10" t="str">
        <f>HYPERLINK("https://twitter.com/lolapastur/status/1065162426130288640","1065162426130288640")</f>
        <v>1065162426130288640</v>
      </c>
      <c r="F1926" s="14" t="s">
        <v>4200</v>
      </c>
      <c r="G1926" s="11"/>
      <c r="H1926" s="11"/>
      <c r="I1926" s="12">
        <v>2</v>
      </c>
      <c r="J1926" s="12">
        <v>0</v>
      </c>
      <c r="K1926" s="13" t="str">
        <f>HYPERLINK("http://twitter.com/download/iphone","Twitter for iPhone")</f>
        <v>Twitter for iPhone</v>
      </c>
      <c r="L1926" s="12">
        <v>3768</v>
      </c>
      <c r="M1926" s="12">
        <v>2836</v>
      </c>
      <c r="N1926" s="12">
        <v>32</v>
      </c>
      <c r="O1926" s="15"/>
      <c r="P1926" s="6">
        <v>40913.224293981482</v>
      </c>
      <c r="Q1926" s="11"/>
      <c r="R1926" s="17" t="s">
        <v>7552</v>
      </c>
      <c r="S1926" s="11"/>
      <c r="T1926" s="11"/>
      <c r="U1926" s="10" t="str">
        <f>HYPERLINK("https://pbs.twimg.com/profile_images/934821295736451073/tnymHvNj.jpg","View")</f>
        <v>View</v>
      </c>
    </row>
    <row r="1927" spans="1:21" ht="40.799999999999997">
      <c r="A1927" s="6">
        <v>43425.025451388894</v>
      </c>
      <c r="B1927" s="7" t="str">
        <f>HYPERLINK("https://twitter.com/Abel_Franc","@Abel_Franc")</f>
        <v>@Abel_Franc</v>
      </c>
      <c r="C1927" s="8" t="s">
        <v>7553</v>
      </c>
      <c r="D1927" s="9" t="s">
        <v>7554</v>
      </c>
      <c r="E1927" s="10" t="str">
        <f>HYPERLINK("https://twitter.com/Abel_Franc/status/1065162061393682432","1065162061393682432")</f>
        <v>1065162061393682432</v>
      </c>
      <c r="F1927" s="14" t="s">
        <v>7555</v>
      </c>
      <c r="G1927" s="11"/>
      <c r="H1927" s="11"/>
      <c r="I1927" s="12">
        <v>0</v>
      </c>
      <c r="J1927" s="12">
        <v>0</v>
      </c>
      <c r="K1927" s="13" t="str">
        <f>HYPERLINK("http://twitter.com/download/android","Twitter for Android")</f>
        <v>Twitter for Android</v>
      </c>
      <c r="L1927" s="12">
        <v>1538</v>
      </c>
      <c r="M1927" s="12">
        <v>2139</v>
      </c>
      <c r="N1927" s="12">
        <v>25</v>
      </c>
      <c r="O1927" s="15"/>
      <c r="P1927" s="6">
        <v>40669.158275462964</v>
      </c>
      <c r="Q1927" s="16" t="s">
        <v>7556</v>
      </c>
      <c r="R1927" s="17" t="s">
        <v>7557</v>
      </c>
      <c r="S1927" s="14" t="s">
        <v>7558</v>
      </c>
      <c r="T1927" s="11"/>
      <c r="U1927" s="10" t="str">
        <f>HYPERLINK("https://pbs.twimg.com/profile_images/1024355260800946179/0-gf4ZgV.jpg","View")</f>
        <v>View</v>
      </c>
    </row>
    <row r="1928" spans="1:21" ht="30.6">
      <c r="A1928" s="6">
        <v>43425.025289351848</v>
      </c>
      <c r="B1928" s="7" t="str">
        <f>HYPERLINK("https://twitter.com/josemariaalgar","@josemariaalgar")</f>
        <v>@josemariaalgar</v>
      </c>
      <c r="C1928" s="8" t="s">
        <v>7559</v>
      </c>
      <c r="D1928" s="9" t="s">
        <v>7560</v>
      </c>
      <c r="E1928" s="10" t="str">
        <f>HYPERLINK("https://twitter.com/josemariaalgar/status/1065161999657639936","1065161999657639936")</f>
        <v>1065161999657639936</v>
      </c>
      <c r="F1928" s="14" t="s">
        <v>7561</v>
      </c>
      <c r="G1928" s="11"/>
      <c r="H1928" s="11"/>
      <c r="I1928" s="12">
        <v>0</v>
      </c>
      <c r="J1928" s="12">
        <v>0</v>
      </c>
      <c r="K1928" s="13" t="str">
        <f>HYPERLINK("http://twitter.com","Twitter Web Client")</f>
        <v>Twitter Web Client</v>
      </c>
      <c r="L1928" s="12">
        <v>595</v>
      </c>
      <c r="M1928" s="12">
        <v>800</v>
      </c>
      <c r="N1928" s="12">
        <v>1</v>
      </c>
      <c r="O1928" s="15"/>
      <c r="P1928" s="6">
        <v>40747.519120370373</v>
      </c>
      <c r="Q1928" s="16" t="s">
        <v>7562</v>
      </c>
      <c r="R1928" s="20" t="s">
        <v>7563</v>
      </c>
      <c r="S1928" s="14" t="s">
        <v>7564</v>
      </c>
      <c r="T1928" s="11"/>
      <c r="U1928" s="10" t="str">
        <f>HYPERLINK("https://pbs.twimg.com/profile_images/378800000515398962/f9842bb2fa3e808c1457464940aac1c3.jpeg","View")</f>
        <v>View</v>
      </c>
    </row>
    <row r="1929" spans="1:21" ht="51">
      <c r="A1929" s="6">
        <v>43425.02342592593</v>
      </c>
      <c r="B1929" s="7" t="str">
        <f>HYPERLINK("https://twitter.com/SerbanPic","@SerbanPic")</f>
        <v>@SerbanPic</v>
      </c>
      <c r="C1929" s="8" t="s">
        <v>4541</v>
      </c>
      <c r="D1929" s="9" t="s">
        <v>4542</v>
      </c>
      <c r="E1929" s="10" t="str">
        <f>HYPERLINK("https://twitter.com/SerbanPic/status/1065161324383092736","1065161324383092736")</f>
        <v>1065161324383092736</v>
      </c>
      <c r="F1929" s="14" t="s">
        <v>4543</v>
      </c>
      <c r="G1929" s="11"/>
      <c r="H1929" s="11"/>
      <c r="I1929" s="12">
        <v>0</v>
      </c>
      <c r="J1929" s="12">
        <v>0</v>
      </c>
      <c r="K1929" s="13" t="str">
        <f>HYPERLINK("http://twitter.com/download/android","Twitter for Android")</f>
        <v>Twitter for Android</v>
      </c>
      <c r="L1929" s="12">
        <v>204</v>
      </c>
      <c r="M1929" s="12">
        <v>283</v>
      </c>
      <c r="N1929" s="12">
        <v>16</v>
      </c>
      <c r="O1929" s="15"/>
      <c r="P1929" s="6">
        <v>40686.417893518519</v>
      </c>
      <c r="Q1929" s="16" t="s">
        <v>28</v>
      </c>
      <c r="R1929" s="17" t="s">
        <v>4544</v>
      </c>
      <c r="S1929" s="14" t="s">
        <v>4545</v>
      </c>
      <c r="T1929" s="11"/>
      <c r="U1929" s="10" t="str">
        <f>HYPERLINK("https://pbs.twimg.com/profile_images/1059221045553565696/YGxdLs_9.jpg","View")</f>
        <v>View</v>
      </c>
    </row>
    <row r="1930" spans="1:21" ht="51">
      <c r="A1930" s="6">
        <v>43425.022615740745</v>
      </c>
      <c r="B1930" s="7" t="str">
        <f>HYPERLINK("https://twitter.com/ahorapodemos","@ahorapodemos")</f>
        <v>@ahorapodemos</v>
      </c>
      <c r="C1930" s="8" t="s">
        <v>48</v>
      </c>
      <c r="D1930" s="9" t="s">
        <v>4546</v>
      </c>
      <c r="E1930" s="10" t="str">
        <f>HYPERLINK("https://twitter.com/ahorapodemos/status/1065161033898180611","1065161033898180611")</f>
        <v>1065161033898180611</v>
      </c>
      <c r="F1930" s="11"/>
      <c r="G1930" s="14" t="s">
        <v>4424</v>
      </c>
      <c r="H1930" s="11"/>
      <c r="I1930" s="12">
        <v>581</v>
      </c>
      <c r="J1930" s="12">
        <v>822</v>
      </c>
      <c r="K1930" s="13" t="str">
        <f>HYPERLINK("https://studio.twitter.com","Media Studio")</f>
        <v>Media Studio</v>
      </c>
      <c r="L1930" s="12">
        <v>1338987</v>
      </c>
      <c r="M1930" s="12">
        <v>1529</v>
      </c>
      <c r="N1930" s="12">
        <v>5654</v>
      </c>
      <c r="O1930" s="18" t="s">
        <v>52</v>
      </c>
      <c r="P1930" s="6">
        <v>41651.201979166668</v>
      </c>
      <c r="Q1930" s="16" t="s">
        <v>54</v>
      </c>
      <c r="R1930" s="17" t="s">
        <v>56</v>
      </c>
      <c r="S1930" s="14" t="s">
        <v>58</v>
      </c>
      <c r="T1930" s="11"/>
      <c r="U1930" s="10" t="str">
        <f>HYPERLINK("https://pbs.twimg.com/profile_images/1036536413548892160/J0K-j7cz.jpg","View")</f>
        <v>View</v>
      </c>
    </row>
    <row r="1931" spans="1:21" ht="40.799999999999997">
      <c r="A1931" s="6">
        <v>43425.020833333328</v>
      </c>
      <c r="B1931" s="7" t="str">
        <f>HYPERLINK("https://twitter.com/Torremolinos_On","@Torremolinos_On")</f>
        <v>@Torremolinos_On</v>
      </c>
      <c r="C1931" s="8" t="s">
        <v>6309</v>
      </c>
      <c r="D1931" s="9" t="s">
        <v>7565</v>
      </c>
      <c r="E1931" s="10" t="str">
        <f>HYPERLINK("https://twitter.com/Torremolinos_On/status/1065160385576091651","1065160385576091651")</f>
        <v>1065160385576091651</v>
      </c>
      <c r="F1931" s="14" t="s">
        <v>6311</v>
      </c>
      <c r="G1931" s="14" t="s">
        <v>7566</v>
      </c>
      <c r="H1931" s="11"/>
      <c r="I1931" s="12">
        <v>1</v>
      </c>
      <c r="J1931" s="12">
        <v>0</v>
      </c>
      <c r="K1931" s="13" t="str">
        <f>HYPERLINK("https://about.twitter.com/products/tweetdeck","TweetDeck")</f>
        <v>TweetDeck</v>
      </c>
      <c r="L1931" s="12">
        <v>4511</v>
      </c>
      <c r="M1931" s="12">
        <v>1498</v>
      </c>
      <c r="N1931" s="12">
        <v>67</v>
      </c>
      <c r="O1931" s="15"/>
      <c r="P1931" s="6">
        <v>42030.010405092587</v>
      </c>
      <c r="Q1931" s="16" t="s">
        <v>6313</v>
      </c>
      <c r="R1931" s="17" t="s">
        <v>6314</v>
      </c>
      <c r="S1931" s="14" t="s">
        <v>6315</v>
      </c>
      <c r="T1931" s="11"/>
      <c r="U1931" s="10" t="str">
        <f>HYPERLINK("https://pbs.twimg.com/profile_images/1065553180744925186/YO8TIZeq.jpg","View")</f>
        <v>View</v>
      </c>
    </row>
    <row r="1932" spans="1:21" ht="40.799999999999997">
      <c r="A1932" s="6">
        <v>43425.019479166665</v>
      </c>
      <c r="B1932" s="7" t="str">
        <f>HYPERLINK("https://twitter.com/TarjetasRojas","@TarjetasRojas")</f>
        <v>@TarjetasRojas</v>
      </c>
      <c r="C1932" s="8" t="s">
        <v>4550</v>
      </c>
      <c r="D1932" s="9" t="s">
        <v>4552</v>
      </c>
      <c r="E1932" s="10" t="str">
        <f>HYPERLINK("https://twitter.com/TarjetasRojas/status/1065159893714386944","1065159893714386944")</f>
        <v>1065159893714386944</v>
      </c>
      <c r="F1932" s="11"/>
      <c r="G1932" s="14" t="s">
        <v>4553</v>
      </c>
      <c r="H1932" s="11"/>
      <c r="I1932" s="12">
        <v>55</v>
      </c>
      <c r="J1932" s="12">
        <v>93</v>
      </c>
      <c r="K1932" s="13" t="str">
        <f>HYPERLINK("http://twitter.com/download/android","Twitter for Android")</f>
        <v>Twitter for Android</v>
      </c>
      <c r="L1932" s="12">
        <v>559</v>
      </c>
      <c r="M1932" s="12">
        <v>83</v>
      </c>
      <c r="N1932" s="12">
        <v>6</v>
      </c>
      <c r="O1932" s="15"/>
      <c r="P1932" s="6">
        <v>43140.403807870374</v>
      </c>
      <c r="Q1932" s="16" t="s">
        <v>1950</v>
      </c>
      <c r="R1932" s="17" t="s">
        <v>4554</v>
      </c>
      <c r="S1932" s="11"/>
      <c r="T1932" s="11"/>
      <c r="U1932" s="10" t="str">
        <f>HYPERLINK("https://pbs.twimg.com/profile_images/962020712989933569/yPALQJX0.jpg","View")</f>
        <v>View</v>
      </c>
    </row>
    <row r="1933" spans="1:21" ht="40.799999999999997">
      <c r="A1933" s="6">
        <v>43425.014201388884</v>
      </c>
      <c r="B1933" s="7" t="str">
        <f>HYPERLINK("https://twitter.com/fespvalladolid","@fespvalladolid")</f>
        <v>@fespvalladolid</v>
      </c>
      <c r="C1933" s="8" t="s">
        <v>7567</v>
      </c>
      <c r="D1933" s="9" t="s">
        <v>7537</v>
      </c>
      <c r="E1933" s="10" t="str">
        <f>HYPERLINK("https://twitter.com/fespvalladolid/status/1065157984270131200","1065157984270131200")</f>
        <v>1065157984270131200</v>
      </c>
      <c r="F1933" s="14" t="s">
        <v>7538</v>
      </c>
      <c r="G1933" s="11"/>
      <c r="H1933" s="11"/>
      <c r="I1933" s="12">
        <v>2</v>
      </c>
      <c r="J1933" s="12">
        <v>0</v>
      </c>
      <c r="K1933" s="13" t="str">
        <f t="shared" ref="K1933:K1935" si="410">HYPERLINK("http://twitter.com","Twitter Web Client")</f>
        <v>Twitter Web Client</v>
      </c>
      <c r="L1933" s="12">
        <v>980</v>
      </c>
      <c r="M1933" s="12">
        <v>1061</v>
      </c>
      <c r="N1933" s="12">
        <v>32</v>
      </c>
      <c r="O1933" s="15"/>
      <c r="P1933" s="6">
        <v>40360.097361111111</v>
      </c>
      <c r="Q1933" s="16" t="s">
        <v>1945</v>
      </c>
      <c r="R1933" s="17" t="s">
        <v>7568</v>
      </c>
      <c r="S1933" s="14" t="s">
        <v>7569</v>
      </c>
      <c r="T1933" s="11"/>
      <c r="U1933" s="10" t="str">
        <f>HYPERLINK("https://pbs.twimg.com/profile_images/785433765195747328/rT2r7wtb.jpg","View")</f>
        <v>View</v>
      </c>
    </row>
    <row r="1934" spans="1:21" ht="40.799999999999997">
      <c r="A1934" s="6">
        <v>43425.013344907406</v>
      </c>
      <c r="B1934" s="7" t="str">
        <f>HYPERLINK("https://twitter.com/tosego","@tosego")</f>
        <v>@tosego</v>
      </c>
      <c r="C1934" s="8" t="s">
        <v>7570</v>
      </c>
      <c r="D1934" s="9" t="s">
        <v>7571</v>
      </c>
      <c r="E1934" s="10" t="str">
        <f>HYPERLINK("https://twitter.com/tosego/status/1065157673354752000","1065157673354752000")</f>
        <v>1065157673354752000</v>
      </c>
      <c r="F1934" s="14" t="s">
        <v>7572</v>
      </c>
      <c r="G1934" s="11"/>
      <c r="H1934" s="11"/>
      <c r="I1934" s="12">
        <v>0</v>
      </c>
      <c r="J1934" s="12">
        <v>0</v>
      </c>
      <c r="K1934" s="13" t="str">
        <f t="shared" si="410"/>
        <v>Twitter Web Client</v>
      </c>
      <c r="L1934" s="12">
        <v>54</v>
      </c>
      <c r="M1934" s="12">
        <v>43</v>
      </c>
      <c r="N1934" s="12">
        <v>4</v>
      </c>
      <c r="O1934" s="15"/>
      <c r="P1934" s="6">
        <v>41542.571331018517</v>
      </c>
      <c r="Q1934" s="16" t="s">
        <v>805</v>
      </c>
      <c r="R1934" s="17" t="s">
        <v>7573</v>
      </c>
      <c r="S1934" s="14" t="s">
        <v>7574</v>
      </c>
      <c r="T1934" s="11"/>
      <c r="U1934" s="10" t="str">
        <f>HYPERLINK("https://pbs.twimg.com/profile_images/977449919916240896/M8I7nqW_.jpg","View")</f>
        <v>View</v>
      </c>
    </row>
    <row r="1935" spans="1:21" ht="20.399999999999999">
      <c r="A1935" s="6">
        <v>43425.013043981482</v>
      </c>
      <c r="B1935" s="7" t="str">
        <f>HYPERLINK("https://twitter.com/Belda1954","@Belda1954")</f>
        <v>@Belda1954</v>
      </c>
      <c r="C1935" s="8" t="s">
        <v>7575</v>
      </c>
      <c r="D1935" s="9" t="s">
        <v>7189</v>
      </c>
      <c r="E1935" s="10" t="str">
        <f>HYPERLINK("https://twitter.com/Belda1954/status/1065157564130832384","1065157564130832384")</f>
        <v>1065157564130832384</v>
      </c>
      <c r="F1935" s="14" t="s">
        <v>4200</v>
      </c>
      <c r="G1935" s="11"/>
      <c r="H1935" s="11"/>
      <c r="I1935" s="12">
        <v>0</v>
      </c>
      <c r="J1935" s="12">
        <v>0</v>
      </c>
      <c r="K1935" s="13" t="str">
        <f t="shared" si="410"/>
        <v>Twitter Web Client</v>
      </c>
      <c r="L1935" s="12">
        <v>333</v>
      </c>
      <c r="M1935" s="12">
        <v>1031</v>
      </c>
      <c r="N1935" s="12">
        <v>7</v>
      </c>
      <c r="O1935" s="15"/>
      <c r="P1935" s="6">
        <v>40445.405740740738</v>
      </c>
      <c r="Q1935" s="16" t="s">
        <v>28</v>
      </c>
      <c r="R1935" s="17" t="s">
        <v>7576</v>
      </c>
      <c r="S1935" s="11"/>
      <c r="T1935" s="11"/>
      <c r="U1935" s="10" t="str">
        <f>HYPERLINK("https://pbs.twimg.com/profile_images/760042410126737408/0vT_CbAN.jpg","View")</f>
        <v>View</v>
      </c>
    </row>
    <row r="1936" spans="1:21" ht="61.2">
      <c r="A1936" s="6">
        <v>43425.012291666666</v>
      </c>
      <c r="B1936" s="7" t="str">
        <f>HYPERLINK("https://twitter.com/eliconomista","@eliconomista")</f>
        <v>@eliconomista</v>
      </c>
      <c r="C1936" s="8" t="s">
        <v>4555</v>
      </c>
      <c r="D1936" s="9" t="s">
        <v>4556</v>
      </c>
      <c r="E1936" s="10" t="str">
        <f>HYPERLINK("https://twitter.com/eliconomista/status/1065157290343452672","1065157290343452672")</f>
        <v>1065157290343452672</v>
      </c>
      <c r="F1936" s="11"/>
      <c r="G1936" s="14" t="s">
        <v>4559</v>
      </c>
      <c r="H1936" s="11"/>
      <c r="I1936" s="12">
        <v>0</v>
      </c>
      <c r="J1936" s="12">
        <v>2</v>
      </c>
      <c r="K1936" s="13" t="str">
        <f>HYPERLINK("http://twitter.com/download/android","Twitter for Android")</f>
        <v>Twitter for Android</v>
      </c>
      <c r="L1936" s="12">
        <v>402</v>
      </c>
      <c r="M1936" s="12">
        <v>735</v>
      </c>
      <c r="N1936" s="12">
        <v>8</v>
      </c>
      <c r="O1936" s="15"/>
      <c r="P1936" s="6">
        <v>42228.316574074073</v>
      </c>
      <c r="Q1936" s="16" t="s">
        <v>38</v>
      </c>
      <c r="R1936" s="17" t="s">
        <v>4562</v>
      </c>
      <c r="S1936" s="11"/>
      <c r="T1936" s="11"/>
      <c r="U1936" s="10" t="str">
        <f>HYPERLINK("https://pbs.twimg.com/profile_images/631579804295405568/PCsuldM0.png","View")</f>
        <v>View</v>
      </c>
    </row>
    <row r="1937" spans="1:21" ht="20.399999999999999">
      <c r="A1937" s="6">
        <v>43425.011770833335</v>
      </c>
      <c r="B1937" s="7" t="str">
        <f>HYPERLINK("https://twitter.com/zbarbar70","@zbarbar70")</f>
        <v>@zbarbar70</v>
      </c>
      <c r="C1937" s="8" t="s">
        <v>7577</v>
      </c>
      <c r="D1937" s="9" t="s">
        <v>7189</v>
      </c>
      <c r="E1937" s="10" t="str">
        <f>HYPERLINK("https://twitter.com/zbarbar70/status/1065157102375747584","1065157102375747584")</f>
        <v>1065157102375747584</v>
      </c>
      <c r="F1937" s="14" t="s">
        <v>4200</v>
      </c>
      <c r="G1937" s="11"/>
      <c r="H1937" s="11"/>
      <c r="I1937" s="12">
        <v>0</v>
      </c>
      <c r="J1937" s="12">
        <v>0</v>
      </c>
      <c r="K1937" s="13" t="str">
        <f>HYPERLINK("http://twitter.com","Twitter Web Client")</f>
        <v>Twitter Web Client</v>
      </c>
      <c r="L1937" s="12">
        <v>133</v>
      </c>
      <c r="M1937" s="12">
        <v>422</v>
      </c>
      <c r="N1937" s="12">
        <v>0</v>
      </c>
      <c r="O1937" s="15"/>
      <c r="P1937" s="6">
        <v>42507.595185185186</v>
      </c>
      <c r="Q1937" s="16" t="s">
        <v>7578</v>
      </c>
      <c r="R1937" s="17" t="s">
        <v>7579</v>
      </c>
      <c r="S1937" s="14" t="s">
        <v>7580</v>
      </c>
      <c r="T1937" s="11"/>
      <c r="U1937" s="10" t="str">
        <f>HYPERLINK("https://pbs.twimg.com/profile_images/1007883089459150848/SnFqm4f4.jpg","View")</f>
        <v>View</v>
      </c>
    </row>
    <row r="1938" spans="1:21" ht="51">
      <c r="A1938" s="6">
        <v>43425.011435185181</v>
      </c>
      <c r="B1938" s="7" t="str">
        <f>HYPERLINK("https://twitter.com/Lucia13J","@Lucia13J")</f>
        <v>@Lucia13J</v>
      </c>
      <c r="C1938" s="8" t="s">
        <v>4566</v>
      </c>
      <c r="D1938" s="9" t="s">
        <v>4567</v>
      </c>
      <c r="E1938" s="10" t="str">
        <f>HYPERLINK("https://twitter.com/Lucia13J/status/1065156981730742272","1065156981730742272")</f>
        <v>1065156981730742272</v>
      </c>
      <c r="F1938" s="11"/>
      <c r="G1938" s="11"/>
      <c r="H1938" s="11"/>
      <c r="I1938" s="12">
        <v>0</v>
      </c>
      <c r="J1938" s="12">
        <v>0</v>
      </c>
      <c r="K1938" s="13" t="str">
        <f>HYPERLINK("https://mobile.twitter.com","Twitter Lite")</f>
        <v>Twitter Lite</v>
      </c>
      <c r="L1938" s="12">
        <v>210</v>
      </c>
      <c r="M1938" s="12">
        <v>531</v>
      </c>
      <c r="N1938" s="12">
        <v>17</v>
      </c>
      <c r="O1938" s="15"/>
      <c r="P1938" s="6">
        <v>40689.400659722218</v>
      </c>
      <c r="Q1938" s="11"/>
      <c r="R1938" s="19"/>
      <c r="S1938" s="11"/>
      <c r="T1938" s="11"/>
      <c r="U1938" s="10" t="str">
        <f>HYPERLINK("https://pbs.twimg.com/profile_images/2482941463/IMG-20120806-WA002.jpg","View")</f>
        <v>View</v>
      </c>
    </row>
    <row r="1939" spans="1:21" ht="40.799999999999997">
      <c r="A1939" s="6">
        <v>43425.011435185181</v>
      </c>
      <c r="B1939" s="7" t="str">
        <f>HYPERLINK("https://twitter.com/Congreso_Es","@Congreso_Es")</f>
        <v>@Congreso_Es</v>
      </c>
      <c r="C1939" s="8" t="s">
        <v>4455</v>
      </c>
      <c r="D1939" s="9" t="s">
        <v>4571</v>
      </c>
      <c r="E1939" s="10" t="str">
        <f>HYPERLINK("https://twitter.com/Congreso_Es/status/1065156979838971904","1065156979838971904")</f>
        <v>1065156979838971904</v>
      </c>
      <c r="F1939" s="11"/>
      <c r="G1939" s="14" t="s">
        <v>4574</v>
      </c>
      <c r="H1939" s="11"/>
      <c r="I1939" s="12">
        <v>5</v>
      </c>
      <c r="J1939" s="12">
        <v>4</v>
      </c>
      <c r="K1939" s="13" t="str">
        <f>HYPERLINK("http://snappytv.com","SnappyTV.com")</f>
        <v>SnappyTV.com</v>
      </c>
      <c r="L1939" s="12">
        <v>174575</v>
      </c>
      <c r="M1939" s="12">
        <v>877</v>
      </c>
      <c r="N1939" s="12">
        <v>1659</v>
      </c>
      <c r="O1939" s="18" t="s">
        <v>52</v>
      </c>
      <c r="P1939" s="6">
        <v>39966.110127314816</v>
      </c>
      <c r="Q1939" s="16" t="s">
        <v>28</v>
      </c>
      <c r="R1939" s="17" t="s">
        <v>4460</v>
      </c>
      <c r="S1939" s="14" t="s">
        <v>4462</v>
      </c>
      <c r="T1939" s="11"/>
      <c r="U1939" s="10" t="str">
        <f>HYPERLINK("https://pbs.twimg.com/profile_images/1053411069492977664/iG3t9NEY.jpg","View")</f>
        <v>View</v>
      </c>
    </row>
    <row r="1940" spans="1:21" ht="51">
      <c r="A1940" s="6">
        <v>43425.011215277773</v>
      </c>
      <c r="B1940" s="7" t="str">
        <f>HYPERLINK("https://twitter.com/naveuda","@naveuda")</f>
        <v>@naveuda</v>
      </c>
      <c r="C1940" s="8" t="s">
        <v>4578</v>
      </c>
      <c r="D1940" s="9" t="s">
        <v>4579</v>
      </c>
      <c r="E1940" s="10" t="str">
        <f>HYPERLINK("https://twitter.com/naveuda/status/1065156902898806784","1065156902898806784")</f>
        <v>1065156902898806784</v>
      </c>
      <c r="F1940" s="11"/>
      <c r="G1940" s="11"/>
      <c r="H1940" s="11"/>
      <c r="I1940" s="12">
        <v>1</v>
      </c>
      <c r="J1940" s="12">
        <v>0</v>
      </c>
      <c r="K1940" s="13" t="str">
        <f>HYPERLINK("https://mobile.twitter.com","Twitter Lite")</f>
        <v>Twitter Lite</v>
      </c>
      <c r="L1940" s="12">
        <v>36</v>
      </c>
      <c r="M1940" s="12">
        <v>84</v>
      </c>
      <c r="N1940" s="12">
        <v>1</v>
      </c>
      <c r="O1940" s="15"/>
      <c r="P1940" s="6">
        <v>42157.354050925926</v>
      </c>
      <c r="Q1940" s="11"/>
      <c r="R1940" s="19"/>
      <c r="S1940" s="11"/>
      <c r="T1940" s="11"/>
      <c r="U1940" s="10" t="str">
        <f>HYPERLINK("https://pbs.twimg.com/profile_images/605758328766144513/tObMVkFT.jpg","View")</f>
        <v>View</v>
      </c>
    </row>
    <row r="1941" spans="1:21" ht="20.399999999999999">
      <c r="A1941" s="6">
        <v>43425.010682870372</v>
      </c>
      <c r="B1941" s="7" t="str">
        <f>HYPERLINK("https://twitter.com/elmundoand","@elmundoand")</f>
        <v>@elmundoand</v>
      </c>
      <c r="C1941" s="8" t="s">
        <v>7581</v>
      </c>
      <c r="D1941" s="9" t="s">
        <v>7582</v>
      </c>
      <c r="E1941" s="10" t="str">
        <f>HYPERLINK("https://twitter.com/elmundoand/status/1065156707918188544","1065156707918188544")</f>
        <v>1065156707918188544</v>
      </c>
      <c r="F1941" s="14" t="s">
        <v>4200</v>
      </c>
      <c r="G1941" s="11"/>
      <c r="H1941" s="11"/>
      <c r="I1941" s="12">
        <v>1</v>
      </c>
      <c r="J1941" s="12">
        <v>1</v>
      </c>
      <c r="K1941" s="13" t="str">
        <f>HYPERLINK("http://twitter.com","Twitter Web Client")</f>
        <v>Twitter Web Client</v>
      </c>
      <c r="L1941" s="12">
        <v>8682</v>
      </c>
      <c r="M1941" s="12">
        <v>1927</v>
      </c>
      <c r="N1941" s="12">
        <v>243</v>
      </c>
      <c r="O1941" s="15"/>
      <c r="P1941" s="6">
        <v>40204.070868055554</v>
      </c>
      <c r="Q1941" s="16" t="s">
        <v>7583</v>
      </c>
      <c r="R1941" s="17" t="s">
        <v>7584</v>
      </c>
      <c r="S1941" s="14" t="s">
        <v>7585</v>
      </c>
      <c r="T1941" s="11"/>
      <c r="U1941" s="10" t="str">
        <f>HYPERLINK("https://pbs.twimg.com/profile_images/595934719721742336/JLmRO2fI.jpg","View")</f>
        <v>View</v>
      </c>
    </row>
    <row r="1942" spans="1:21" ht="30.6">
      <c r="A1942" s="6">
        <v>43425.010601851856</v>
      </c>
      <c r="B1942" s="7" t="str">
        <f>HYPERLINK("https://twitter.com/scaula","@scaula")</f>
        <v>@scaula</v>
      </c>
      <c r="C1942" s="8" t="s">
        <v>7586</v>
      </c>
      <c r="D1942" s="9" t="s">
        <v>7587</v>
      </c>
      <c r="E1942" s="10" t="str">
        <f>HYPERLINK("https://twitter.com/scaula/status/1065156679015239680","1065156679015239680")</f>
        <v>1065156679015239680</v>
      </c>
      <c r="F1942" s="11"/>
      <c r="G1942" s="11"/>
      <c r="H1942" s="11"/>
      <c r="I1942" s="12">
        <v>0</v>
      </c>
      <c r="J1942" s="12">
        <v>0</v>
      </c>
      <c r="K1942" s="13" t="str">
        <f t="shared" ref="K1942:K1943" si="411">HYPERLINK("http://twitter.com/download/iphone","Twitter for iPhone")</f>
        <v>Twitter for iPhone</v>
      </c>
      <c r="L1942" s="12">
        <v>2081</v>
      </c>
      <c r="M1942" s="12">
        <v>1575</v>
      </c>
      <c r="N1942" s="12">
        <v>27</v>
      </c>
      <c r="O1942" s="15"/>
      <c r="P1942" s="6">
        <v>40009.459467592591</v>
      </c>
      <c r="Q1942" s="16" t="s">
        <v>158</v>
      </c>
      <c r="R1942" s="17" t="s">
        <v>7588</v>
      </c>
      <c r="S1942" s="11"/>
      <c r="T1942" s="11"/>
      <c r="U1942" s="10" t="str">
        <f>HYPERLINK("https://pbs.twimg.com/profile_images/950883407529218048/Zd4429s0.jpg","View")</f>
        <v>View</v>
      </c>
    </row>
    <row r="1943" spans="1:21" ht="40.799999999999997">
      <c r="A1943" s="6">
        <v>43425.010138888887</v>
      </c>
      <c r="B1943" s="7" t="str">
        <f>HYPERLINK("https://twitter.com/josPobleteBrav3","@josPobleteBrav3")</f>
        <v>@josPobleteBrav3</v>
      </c>
      <c r="C1943" s="8" t="s">
        <v>4584</v>
      </c>
      <c r="D1943" s="9" t="s">
        <v>4585</v>
      </c>
      <c r="E1943" s="10" t="str">
        <f>HYPERLINK("https://twitter.com/josPobleteBrav3/status/1065156512945971202","1065156512945971202")</f>
        <v>1065156512945971202</v>
      </c>
      <c r="F1943" s="11"/>
      <c r="G1943" s="11"/>
      <c r="H1943" s="11"/>
      <c r="I1943" s="12">
        <v>0</v>
      </c>
      <c r="J1943" s="12">
        <v>0</v>
      </c>
      <c r="K1943" s="13" t="str">
        <f t="shared" si="411"/>
        <v>Twitter for iPhone</v>
      </c>
      <c r="L1943" s="12">
        <v>198</v>
      </c>
      <c r="M1943" s="12">
        <v>1014</v>
      </c>
      <c r="N1943" s="12">
        <v>1</v>
      </c>
      <c r="O1943" s="15"/>
      <c r="P1943" s="6">
        <v>43181.238495370373</v>
      </c>
      <c r="Q1943" s="16" t="s">
        <v>3305</v>
      </c>
      <c r="R1943" s="17" t="s">
        <v>4589</v>
      </c>
      <c r="S1943" s="11"/>
      <c r="T1943" s="11"/>
      <c r="U1943" s="10" t="str">
        <f>HYPERLINK("https://pbs.twimg.com/profile_images/1005385575388631040/mkstf6vu.jpg","View")</f>
        <v>View</v>
      </c>
    </row>
    <row r="1944" spans="1:21" ht="40.799999999999997">
      <c r="A1944" s="6">
        <v>43425.010092592594</v>
      </c>
      <c r="B1944" s="7" t="str">
        <f>HYPERLINK("https://twitter.com/votacanciones","@votacanciones")</f>
        <v>@votacanciones</v>
      </c>
      <c r="C1944" s="8" t="s">
        <v>7589</v>
      </c>
      <c r="D1944" s="9" t="s">
        <v>7590</v>
      </c>
      <c r="E1944" s="10" t="str">
        <f>HYPERLINK("https://twitter.com/votacanciones/status/1065156492242939904","1065156492242939904")</f>
        <v>1065156492242939904</v>
      </c>
      <c r="F1944" s="11"/>
      <c r="G1944" s="11"/>
      <c r="H1944" s="11"/>
      <c r="I1944" s="12">
        <v>0</v>
      </c>
      <c r="J1944" s="12">
        <v>0</v>
      </c>
      <c r="K1944" s="13" t="str">
        <f>HYPERLINK("http://twitter.com","Twitter Web Client")</f>
        <v>Twitter Web Client</v>
      </c>
      <c r="L1944" s="12">
        <v>316</v>
      </c>
      <c r="M1944" s="12">
        <v>468</v>
      </c>
      <c r="N1944" s="12">
        <v>6</v>
      </c>
      <c r="O1944" s="15"/>
      <c r="P1944" s="6">
        <v>41240.537951388891</v>
      </c>
      <c r="Q1944" s="16" t="s">
        <v>132</v>
      </c>
      <c r="R1944" s="17" t="s">
        <v>7591</v>
      </c>
      <c r="S1944" s="14" t="s">
        <v>7592</v>
      </c>
      <c r="T1944" s="11"/>
      <c r="U1944" s="10" t="str">
        <f>HYPERLINK("https://pbs.twimg.com/profile_images/834182358215573504/jz-4e83B.jpg","View")</f>
        <v>View</v>
      </c>
    </row>
    <row r="1945" spans="1:21" ht="30.6">
      <c r="A1945" s="6">
        <v>43425.009027777778</v>
      </c>
      <c r="B1945" s="7" t="str">
        <f>HYPERLINK("https://twitter.com/mutenroch","@mutenroch")</f>
        <v>@mutenroch</v>
      </c>
      <c r="C1945" s="8" t="s">
        <v>4594</v>
      </c>
      <c r="D1945" s="9" t="s">
        <v>4595</v>
      </c>
      <c r="E1945" s="10" t="str">
        <f>HYPERLINK("https://twitter.com/mutenroch/status/1065156109168766977","1065156109168766977")</f>
        <v>1065156109168766977</v>
      </c>
      <c r="F1945" s="11"/>
      <c r="G1945" s="11"/>
      <c r="H1945" s="11"/>
      <c r="I1945" s="12">
        <v>0</v>
      </c>
      <c r="J1945" s="12">
        <v>0</v>
      </c>
      <c r="K1945" s="13" t="str">
        <f>HYPERLINK("http://twitter.com/download/iphone","Twitter for iPhone")</f>
        <v>Twitter for iPhone</v>
      </c>
      <c r="L1945" s="12">
        <v>196</v>
      </c>
      <c r="M1945" s="12">
        <v>573</v>
      </c>
      <c r="N1945" s="12">
        <v>2</v>
      </c>
      <c r="O1945" s="15"/>
      <c r="P1945" s="6">
        <v>40572.275694444441</v>
      </c>
      <c r="Q1945" s="11"/>
      <c r="R1945" s="17" t="s">
        <v>4596</v>
      </c>
      <c r="S1945" s="11"/>
      <c r="T1945" s="11"/>
      <c r="U1945" s="10" t="str">
        <f>HYPERLINK("https://pbs.twimg.com/profile_images/899642665234509825/ApsbxdSH.jpg","View")</f>
        <v>View</v>
      </c>
    </row>
    <row r="1946" spans="1:21" ht="61.2">
      <c r="A1946" s="6">
        <v>43425.009027777778</v>
      </c>
      <c r="B1946" s="7" t="str">
        <f>HYPERLINK("https://twitter.com/Radio_Sporting","@Radio_Sporting")</f>
        <v>@Radio_Sporting</v>
      </c>
      <c r="C1946" s="8" t="s">
        <v>884</v>
      </c>
      <c r="D1946" s="9" t="s">
        <v>3568</v>
      </c>
      <c r="E1946" s="10" t="str">
        <f>HYPERLINK("https://twitter.com/Radio_Sporting/status/1065156107541327872","1065156107541327872")</f>
        <v>1065156107541327872</v>
      </c>
      <c r="F1946" s="11"/>
      <c r="G1946" s="14" t="s">
        <v>7593</v>
      </c>
      <c r="H1946" s="11"/>
      <c r="I1946" s="12">
        <v>2</v>
      </c>
      <c r="J1946" s="12">
        <v>3</v>
      </c>
      <c r="K1946" s="13" t="str">
        <f>HYPERLINK("https://about.twitter.com/products/tweetdeck","TweetDeck")</f>
        <v>TweetDeck</v>
      </c>
      <c r="L1946" s="12">
        <v>2244</v>
      </c>
      <c r="M1946" s="12">
        <v>1450</v>
      </c>
      <c r="N1946" s="12">
        <v>35</v>
      </c>
      <c r="O1946" s="15"/>
      <c r="P1946" s="6">
        <v>41810.058981481481</v>
      </c>
      <c r="Q1946" s="16" t="s">
        <v>891</v>
      </c>
      <c r="R1946" s="17" t="s">
        <v>892</v>
      </c>
      <c r="S1946" s="14" t="s">
        <v>893</v>
      </c>
      <c r="T1946" s="11"/>
      <c r="U1946" s="10" t="str">
        <f>HYPERLINK("https://pbs.twimg.com/profile_images/1046720125746008067/7_1_XRaL.jpg","View")</f>
        <v>View</v>
      </c>
    </row>
    <row r="1947" spans="1:21" ht="20.399999999999999">
      <c r="A1947" s="6">
        <v>43425.008877314816</v>
      </c>
      <c r="B1947" s="7" t="str">
        <f>HYPERLINK("https://twitter.com/RubenFG_","@RubenFG_")</f>
        <v>@RubenFG_</v>
      </c>
      <c r="C1947" s="8" t="s">
        <v>7594</v>
      </c>
      <c r="D1947" s="9" t="s">
        <v>7595</v>
      </c>
      <c r="E1947" s="10" t="str">
        <f>HYPERLINK("https://twitter.com/RubenFG_/status/1065156053078298625","1065156053078298625")</f>
        <v>1065156053078298625</v>
      </c>
      <c r="F1947" s="11"/>
      <c r="G1947" s="11"/>
      <c r="H1947" s="11"/>
      <c r="I1947" s="12">
        <v>0</v>
      </c>
      <c r="J1947" s="12">
        <v>2</v>
      </c>
      <c r="K1947" s="13" t="str">
        <f>HYPERLINK("http://twitter.com/download/iphone","Twitter for iPhone")</f>
        <v>Twitter for iPhone</v>
      </c>
      <c r="L1947" s="12">
        <v>1714</v>
      </c>
      <c r="M1947" s="12">
        <v>1159</v>
      </c>
      <c r="N1947" s="12">
        <v>13</v>
      </c>
      <c r="O1947" s="15"/>
      <c r="P1947" s="6">
        <v>41263.138472222221</v>
      </c>
      <c r="Q1947" s="16" t="s">
        <v>7596</v>
      </c>
      <c r="R1947" s="17" t="s">
        <v>7597</v>
      </c>
      <c r="S1947" s="14" t="s">
        <v>7598</v>
      </c>
      <c r="T1947" s="11"/>
      <c r="U1947" s="10" t="str">
        <f>HYPERLINK("https://pbs.twimg.com/profile_images/1056380403051831296/L9c_kcXp.jpg","View")</f>
        <v>View</v>
      </c>
    </row>
    <row r="1948" spans="1:21" ht="40.799999999999997">
      <c r="A1948" s="6">
        <v>43425.00782407407</v>
      </c>
      <c r="B1948" s="7" t="str">
        <f>HYPERLINK("https://twitter.com/58Domingo","@58Domingo")</f>
        <v>@58Domingo</v>
      </c>
      <c r="C1948" s="8" t="s">
        <v>4598</v>
      </c>
      <c r="D1948" s="9" t="s">
        <v>4599</v>
      </c>
      <c r="E1948" s="10" t="str">
        <f>HYPERLINK("https://twitter.com/58Domingo/status/1065155673464471552","1065155673464471552")</f>
        <v>1065155673464471552</v>
      </c>
      <c r="F1948" s="11"/>
      <c r="G1948" s="11"/>
      <c r="H1948" s="11"/>
      <c r="I1948" s="12">
        <v>0</v>
      </c>
      <c r="J1948" s="12">
        <v>0</v>
      </c>
      <c r="K1948" s="13" t="str">
        <f>HYPERLINK("http://twitter.com/download/android","Twitter for Android")</f>
        <v>Twitter for Android</v>
      </c>
      <c r="L1948" s="12">
        <v>258</v>
      </c>
      <c r="M1948" s="12">
        <v>151</v>
      </c>
      <c r="N1948" s="12">
        <v>10</v>
      </c>
      <c r="O1948" s="15"/>
      <c r="P1948" s="6">
        <v>40894.042187500003</v>
      </c>
      <c r="Q1948" s="16" t="s">
        <v>318</v>
      </c>
      <c r="R1948" s="17" t="s">
        <v>4602</v>
      </c>
      <c r="S1948" s="11"/>
      <c r="T1948" s="11"/>
      <c r="U1948" s="10" t="str">
        <f>HYPERLINK("https://pbs.twimg.com/profile_images/609779750748442624/0TGFVnRF.jpg","View")</f>
        <v>View</v>
      </c>
    </row>
    <row r="1949" spans="1:21" ht="40.799999999999997">
      <c r="A1949" s="6">
        <v>43425.007326388892</v>
      </c>
      <c r="B1949" s="7" t="str">
        <f>HYPERLINK("https://twitter.com/UGT_Comunica","@UGT_Comunica")</f>
        <v>@UGT_Comunica</v>
      </c>
      <c r="C1949" s="8" t="s">
        <v>1657</v>
      </c>
      <c r="D1949" s="9" t="s">
        <v>7599</v>
      </c>
      <c r="E1949" s="10" t="str">
        <f>HYPERLINK("https://twitter.com/UGT_Comunica/status/1065155493231058944","1065155493231058944")</f>
        <v>1065155493231058944</v>
      </c>
      <c r="F1949" s="14" t="s">
        <v>7600</v>
      </c>
      <c r="G1949" s="11"/>
      <c r="H1949" s="11"/>
      <c r="I1949" s="12">
        <v>2</v>
      </c>
      <c r="J1949" s="12">
        <v>3</v>
      </c>
      <c r="K1949" s="13" t="str">
        <f>HYPERLINK("http://twitter.com","Twitter Web Client")</f>
        <v>Twitter Web Client</v>
      </c>
      <c r="L1949" s="12">
        <v>35910</v>
      </c>
      <c r="M1949" s="12">
        <v>10145</v>
      </c>
      <c r="N1949" s="12">
        <v>805</v>
      </c>
      <c r="O1949" s="18" t="s">
        <v>52</v>
      </c>
      <c r="P1949" s="6">
        <v>40116.518564814818</v>
      </c>
      <c r="Q1949" s="16" t="s">
        <v>28</v>
      </c>
      <c r="R1949" s="17" t="s">
        <v>1661</v>
      </c>
      <c r="S1949" s="14" t="s">
        <v>1662</v>
      </c>
      <c r="T1949" s="11"/>
      <c r="U1949" s="10" t="str">
        <f>HYPERLINK("https://pbs.twimg.com/profile_images/1040496860568449024/rgUg5HJ1.jpg","View")</f>
        <v>View</v>
      </c>
    </row>
    <row r="1950" spans="1:21" ht="20.399999999999999">
      <c r="A1950" s="6">
        <v>43425.007326388892</v>
      </c>
      <c r="B1950" s="7" t="str">
        <f>HYPERLINK("https://twitter.com/CwhRoss","@CwhRoss")</f>
        <v>@CwhRoss</v>
      </c>
      <c r="C1950" s="8" t="s">
        <v>853</v>
      </c>
      <c r="D1950" s="9" t="s">
        <v>3000</v>
      </c>
      <c r="E1950" s="10" t="str">
        <f>HYPERLINK("https://twitter.com/CwhRoss/status/1065155490768961536","1065155490768961536")</f>
        <v>1065155490768961536</v>
      </c>
      <c r="F1950" s="14" t="s">
        <v>5332</v>
      </c>
      <c r="G1950" s="11"/>
      <c r="H1950" s="11"/>
      <c r="I1950" s="12">
        <v>0</v>
      </c>
      <c r="J1950" s="12">
        <v>0</v>
      </c>
      <c r="K1950" s="13" t="str">
        <f>HYPERLINK("http://www.facebook.com/twitter","Facebook")</f>
        <v>Facebook</v>
      </c>
      <c r="L1950" s="12">
        <v>169</v>
      </c>
      <c r="M1950" s="12">
        <v>2</v>
      </c>
      <c r="N1950" s="12">
        <v>45</v>
      </c>
      <c r="O1950" s="15"/>
      <c r="P1950" s="6">
        <v>41008.406701388885</v>
      </c>
      <c r="Q1950" s="16" t="s">
        <v>857</v>
      </c>
      <c r="R1950" s="20" t="s">
        <v>858</v>
      </c>
      <c r="S1950" s="14" t="s">
        <v>859</v>
      </c>
      <c r="T1950" s="11"/>
      <c r="U1950" s="10" t="str">
        <f>HYPERLINK("https://pbs.twimg.com/profile_images/2076887937/Copy_of_cerdo_con_maciza.jpg","View")</f>
        <v>View</v>
      </c>
    </row>
    <row r="1951" spans="1:21" ht="20.399999999999999">
      <c r="A1951" s="6">
        <v>43425.006932870368</v>
      </c>
      <c r="B1951" s="7" t="str">
        <f>HYPERLINK("https://twitter.com/caencomonueces","@caencomonueces")</f>
        <v>@caencomonueces</v>
      </c>
      <c r="C1951" s="8" t="s">
        <v>3983</v>
      </c>
      <c r="D1951" s="9" t="s">
        <v>7189</v>
      </c>
      <c r="E1951" s="10" t="str">
        <f>HYPERLINK("https://twitter.com/caencomonueces/status/1065155350805037057","1065155350805037057")</f>
        <v>1065155350805037057</v>
      </c>
      <c r="F1951" s="14" t="s">
        <v>4200</v>
      </c>
      <c r="G1951" s="11"/>
      <c r="H1951" s="11"/>
      <c r="I1951" s="12">
        <v>0</v>
      </c>
      <c r="J1951" s="12">
        <v>1</v>
      </c>
      <c r="K1951" s="13" t="str">
        <f>HYPERLINK("http://twitter.com/download/android","Twitter for Android")</f>
        <v>Twitter for Android</v>
      </c>
      <c r="L1951" s="12">
        <v>629</v>
      </c>
      <c r="M1951" s="12">
        <v>1153</v>
      </c>
      <c r="N1951" s="12">
        <v>3</v>
      </c>
      <c r="O1951" s="15"/>
      <c r="P1951" s="6">
        <v>41242.426539351851</v>
      </c>
      <c r="Q1951" s="16" t="s">
        <v>27</v>
      </c>
      <c r="R1951" s="17" t="s">
        <v>3986</v>
      </c>
      <c r="S1951" s="11"/>
      <c r="T1951" s="11"/>
      <c r="U1951" s="10" t="str">
        <f>HYPERLINK("https://pbs.twimg.com/profile_images/802542076420378628/S_52YFJA.jpg","View")</f>
        <v>View</v>
      </c>
    </row>
    <row r="1952" spans="1:21" ht="30.6">
      <c r="A1952" s="6">
        <v>43425.001701388886</v>
      </c>
      <c r="B1952" s="7" t="str">
        <f>HYPERLINK("https://twitter.com/sadratak","@sadratak")</f>
        <v>@sadratak</v>
      </c>
      <c r="C1952" s="8" t="s">
        <v>7601</v>
      </c>
      <c r="D1952" s="9" t="s">
        <v>6996</v>
      </c>
      <c r="E1952" s="10" t="str">
        <f>HYPERLINK("https://twitter.com/sadratak/status/1065153454644109312","1065153454644109312")</f>
        <v>1065153454644109312</v>
      </c>
      <c r="F1952" s="14" t="s">
        <v>7101</v>
      </c>
      <c r="G1952" s="11"/>
      <c r="H1952" s="11"/>
      <c r="I1952" s="12">
        <v>0</v>
      </c>
      <c r="J1952" s="12">
        <v>0</v>
      </c>
      <c r="K1952" s="13" t="str">
        <f>HYPERLINK("https://ifttt.com","IFTTT")</f>
        <v>IFTTT</v>
      </c>
      <c r="L1952" s="12">
        <v>764</v>
      </c>
      <c r="M1952" s="12">
        <v>995</v>
      </c>
      <c r="N1952" s="12">
        <v>228</v>
      </c>
      <c r="O1952" s="15"/>
      <c r="P1952" s="6">
        <v>40220.530115740738</v>
      </c>
      <c r="Q1952" s="16" t="s">
        <v>28</v>
      </c>
      <c r="R1952" s="17" t="s">
        <v>7602</v>
      </c>
      <c r="S1952" s="14" t="s">
        <v>7603</v>
      </c>
      <c r="T1952" s="11"/>
      <c r="U1952" s="10" t="str">
        <f>HYPERLINK("https://pbs.twimg.com/profile_images/912705235939991552/4BS1LSI2.jpg","View")</f>
        <v>View</v>
      </c>
    </row>
    <row r="1953" spans="1:21" ht="40.799999999999997">
      <c r="A1953" s="6">
        <v>43424.996342592596</v>
      </c>
      <c r="B1953" s="7" t="str">
        <f>HYPERLINK("https://twitter.com/uruka13705","@uruka13705")</f>
        <v>@uruka13705</v>
      </c>
      <c r="C1953" s="8" t="s">
        <v>4603</v>
      </c>
      <c r="D1953" s="9" t="s">
        <v>4604</v>
      </c>
      <c r="E1953" s="10" t="str">
        <f>HYPERLINK("https://twitter.com/uruka13705/status/1065151510806450177","1065151510806450177")</f>
        <v>1065151510806450177</v>
      </c>
      <c r="F1953" s="14" t="s">
        <v>4605</v>
      </c>
      <c r="G1953" s="14" t="s">
        <v>4606</v>
      </c>
      <c r="H1953" s="11"/>
      <c r="I1953" s="12">
        <v>0</v>
      </c>
      <c r="J1953" s="12">
        <v>0</v>
      </c>
      <c r="K1953" s="13" t="str">
        <f>HYPERLINK("http://twitter.com/download/iphone","Twitter for iPhone")</f>
        <v>Twitter for iPhone</v>
      </c>
      <c r="L1953" s="12">
        <v>87</v>
      </c>
      <c r="M1953" s="12">
        <v>319</v>
      </c>
      <c r="N1953" s="12">
        <v>0</v>
      </c>
      <c r="O1953" s="15"/>
      <c r="P1953" s="6">
        <v>40258.862604166665</v>
      </c>
      <c r="Q1953" s="16" t="s">
        <v>406</v>
      </c>
      <c r="R1953" s="17" t="s">
        <v>4607</v>
      </c>
      <c r="S1953" s="14" t="s">
        <v>4608</v>
      </c>
      <c r="T1953" s="11"/>
      <c r="U1953" s="10" t="str">
        <f>HYPERLINK("https://pbs.twimg.com/profile_images/1062769394403762176/Kx8qmnZa.jpg","View")</f>
        <v>View</v>
      </c>
    </row>
    <row r="1954" spans="1:21" ht="40.799999999999997">
      <c r="A1954" s="6">
        <v>43424.995104166665</v>
      </c>
      <c r="B1954" s="7" t="str">
        <f>HYPERLINK("https://twitter.com/Durian61109504","@Durian61109504")</f>
        <v>@Durian61109504</v>
      </c>
      <c r="C1954" s="8" t="s">
        <v>7604</v>
      </c>
      <c r="D1954" s="9" t="s">
        <v>7605</v>
      </c>
      <c r="E1954" s="10" t="str">
        <f>HYPERLINK("https://twitter.com/Durian61109504/status/1065151063253225472","1065151063253225472")</f>
        <v>1065151063253225472</v>
      </c>
      <c r="F1954" s="16" t="s">
        <v>7606</v>
      </c>
      <c r="G1954" s="11"/>
      <c r="H1954" s="11"/>
      <c r="I1954" s="12">
        <v>1</v>
      </c>
      <c r="J1954" s="12">
        <v>0</v>
      </c>
      <c r="K1954" s="13" t="str">
        <f>HYPERLINK("http://twitter.com/download/android","Twitter for Android")</f>
        <v>Twitter for Android</v>
      </c>
      <c r="L1954" s="12">
        <v>158</v>
      </c>
      <c r="M1954" s="12">
        <v>199</v>
      </c>
      <c r="N1954" s="12">
        <v>1</v>
      </c>
      <c r="O1954" s="15"/>
      <c r="P1954" s="6">
        <v>43158.382303240738</v>
      </c>
      <c r="Q1954" s="11"/>
      <c r="R1954" s="17" t="s">
        <v>7607</v>
      </c>
      <c r="S1954" s="11"/>
      <c r="T1954" s="11"/>
      <c r="U1954" s="10" t="str">
        <f>HYPERLINK("https://pbs.twimg.com/profile_images/968555387313037313/MCCv6P6F.jpg","View")</f>
        <v>View</v>
      </c>
    </row>
    <row r="1955" spans="1:21" ht="20.399999999999999">
      <c r="A1955" s="6">
        <v>43424.993807870371</v>
      </c>
      <c r="B1955" s="7" t="str">
        <f>HYPERLINK("https://twitter.com/georgeorwell67","@georgeorwell67")</f>
        <v>@georgeorwell67</v>
      </c>
      <c r="C1955" s="8" t="s">
        <v>7608</v>
      </c>
      <c r="D1955" s="9" t="s">
        <v>5998</v>
      </c>
      <c r="E1955" s="10" t="str">
        <f>HYPERLINK("https://twitter.com/georgeorwell67/status/1065150591201173504","1065150591201173504")</f>
        <v>1065150591201173504</v>
      </c>
      <c r="F1955" s="14" t="s">
        <v>7609</v>
      </c>
      <c r="G1955" s="11"/>
      <c r="H1955" s="11"/>
      <c r="I1955" s="12">
        <v>1</v>
      </c>
      <c r="J1955" s="12">
        <v>1</v>
      </c>
      <c r="K1955" s="13" t="str">
        <f>HYPERLINK("https://ifttt.com","IFTTT")</f>
        <v>IFTTT</v>
      </c>
      <c r="L1955" s="12">
        <v>432</v>
      </c>
      <c r="M1955" s="12">
        <v>551</v>
      </c>
      <c r="N1955" s="12">
        <v>3</v>
      </c>
      <c r="O1955" s="15"/>
      <c r="P1955" s="6">
        <v>43015.990393518514</v>
      </c>
      <c r="Q1955" s="11"/>
      <c r="R1955" s="17" t="s">
        <v>7610</v>
      </c>
      <c r="S1955" s="14" t="s">
        <v>7611</v>
      </c>
      <c r="T1955" s="11"/>
      <c r="U1955" s="10" t="str">
        <f>HYPERLINK("https://pbs.twimg.com/profile_images/916919096771571712/VCjSBSiy.jpg","View")</f>
        <v>View</v>
      </c>
    </row>
    <row r="1956" spans="1:21" ht="20.399999999999999">
      <c r="A1956" s="6">
        <v>43424.993703703702</v>
      </c>
      <c r="B1956" s="7" t="str">
        <f>HYPERLINK("https://twitter.com/lapaseata","@lapaseata")</f>
        <v>@lapaseata</v>
      </c>
      <c r="C1956" s="8" t="s">
        <v>7276</v>
      </c>
      <c r="D1956" s="9" t="s">
        <v>5998</v>
      </c>
      <c r="E1956" s="10" t="str">
        <f>HYPERLINK("https://twitter.com/lapaseata/status/1065150556388425728","1065150556388425728")</f>
        <v>1065150556388425728</v>
      </c>
      <c r="F1956" s="14" t="s">
        <v>7278</v>
      </c>
      <c r="G1956" s="14" t="s">
        <v>7612</v>
      </c>
      <c r="H1956" s="11"/>
      <c r="I1956" s="12">
        <v>2</v>
      </c>
      <c r="J1956" s="12">
        <v>0</v>
      </c>
      <c r="K1956" s="13" t="str">
        <f>HYPERLINK("http://twitter.com","Twitter Web Client")</f>
        <v>Twitter Web Client</v>
      </c>
      <c r="L1956" s="12">
        <v>7791</v>
      </c>
      <c r="M1956" s="12">
        <v>7572</v>
      </c>
      <c r="N1956" s="12">
        <v>65</v>
      </c>
      <c r="O1956" s="15"/>
      <c r="P1956" s="6">
        <v>40524.362581018519</v>
      </c>
      <c r="Q1956" s="16" t="s">
        <v>7280</v>
      </c>
      <c r="R1956" s="17" t="s">
        <v>7281</v>
      </c>
      <c r="S1956" s="14" t="s">
        <v>7282</v>
      </c>
      <c r="T1956" s="11"/>
      <c r="U1956" s="10" t="str">
        <f>HYPERLINK("https://pbs.twimg.com/profile_images/631047449524744192/3yyUmZJ5.jpg","View")</f>
        <v>View</v>
      </c>
    </row>
    <row r="1957" spans="1:21" ht="40.799999999999997">
      <c r="A1957" s="6">
        <v>43424.992106481484</v>
      </c>
      <c r="B1957" s="7" t="str">
        <f>HYPERLINK("https://twitter.com/CarlosBasabe4","@CarlosBasabe4")</f>
        <v>@CarlosBasabe4</v>
      </c>
      <c r="C1957" s="8" t="s">
        <v>7613</v>
      </c>
      <c r="D1957" s="9" t="s">
        <v>7614</v>
      </c>
      <c r="E1957" s="10" t="str">
        <f>HYPERLINK("https://twitter.com/CarlosBasabe4/status/1065149975489929216","1065149975489929216")</f>
        <v>1065149975489929216</v>
      </c>
      <c r="F1957" s="14" t="s">
        <v>7615</v>
      </c>
      <c r="G1957" s="11"/>
      <c r="H1957" s="11"/>
      <c r="I1957" s="12">
        <v>0</v>
      </c>
      <c r="J1957" s="12">
        <v>0</v>
      </c>
      <c r="K1957" s="13" t="str">
        <f t="shared" ref="K1957:K1960" si="412">HYPERLINK("http://twitter.com/download/android","Twitter for Android")</f>
        <v>Twitter for Android</v>
      </c>
      <c r="L1957" s="12">
        <v>1520</v>
      </c>
      <c r="M1957" s="12">
        <v>5002</v>
      </c>
      <c r="N1957" s="12">
        <v>3</v>
      </c>
      <c r="O1957" s="15"/>
      <c r="P1957" s="6">
        <v>43041.775868055556</v>
      </c>
      <c r="Q1957" s="16" t="s">
        <v>7616</v>
      </c>
      <c r="R1957" s="17" t="s">
        <v>7617</v>
      </c>
      <c r="S1957" s="11"/>
      <c r="T1957" s="11"/>
      <c r="U1957" s="10" t="str">
        <f>HYPERLINK("https://pbs.twimg.com/profile_images/1002944252354195457/jSQJRNy2.jpg","View")</f>
        <v>View</v>
      </c>
    </row>
    <row r="1958" spans="1:21" ht="30.6">
      <c r="A1958" s="6">
        <v>43424.984317129631</v>
      </c>
      <c r="B1958" s="7" t="str">
        <f>HYPERLINK("https://twitter.com/joluga68","@joluga68")</f>
        <v>@joluga68</v>
      </c>
      <c r="C1958" s="8" t="s">
        <v>7618</v>
      </c>
      <c r="D1958" s="9" t="s">
        <v>7619</v>
      </c>
      <c r="E1958" s="10" t="str">
        <f>HYPERLINK("https://twitter.com/joluga68/status/1065147154249994240","1065147154249994240")</f>
        <v>1065147154249994240</v>
      </c>
      <c r="F1958" s="14" t="s">
        <v>4200</v>
      </c>
      <c r="G1958" s="11"/>
      <c r="H1958" s="11"/>
      <c r="I1958" s="12">
        <v>0</v>
      </c>
      <c r="J1958" s="12">
        <v>0</v>
      </c>
      <c r="K1958" s="13" t="str">
        <f t="shared" si="412"/>
        <v>Twitter for Android</v>
      </c>
      <c r="L1958" s="12">
        <v>4086</v>
      </c>
      <c r="M1958" s="12">
        <v>3074</v>
      </c>
      <c r="N1958" s="12">
        <v>93</v>
      </c>
      <c r="O1958" s="15"/>
      <c r="P1958" s="6">
        <v>40927.583784722221</v>
      </c>
      <c r="Q1958" s="16" t="s">
        <v>7620</v>
      </c>
      <c r="R1958" s="17" t="s">
        <v>7621</v>
      </c>
      <c r="S1958" s="11"/>
      <c r="T1958" s="11"/>
      <c r="U1958" s="10" t="str">
        <f>HYPERLINK("https://pbs.twimg.com/profile_images/1059109428518182912/CiJw4iSy.jpg","View")</f>
        <v>View</v>
      </c>
    </row>
    <row r="1959" spans="1:21" ht="20.399999999999999">
      <c r="A1959" s="6">
        <v>43424.982673611114</v>
      </c>
      <c r="B1959" s="7" t="str">
        <f t="shared" ref="B1959:B1960" si="413">HYPERLINK("https://twitter.com/CarlosLopezMar","@CarlosLopezMar")</f>
        <v>@CarlosLopezMar</v>
      </c>
      <c r="C1959" s="8" t="s">
        <v>7622</v>
      </c>
      <c r="D1959" s="9" t="s">
        <v>7189</v>
      </c>
      <c r="E1959" s="10" t="str">
        <f>HYPERLINK("https://twitter.com/CarlosLopezMar/status/1065146558356905984","1065146558356905984")</f>
        <v>1065146558356905984</v>
      </c>
      <c r="F1959" s="14" t="s">
        <v>4200</v>
      </c>
      <c r="G1959" s="11"/>
      <c r="H1959" s="11"/>
      <c r="I1959" s="12">
        <v>0</v>
      </c>
      <c r="J1959" s="12">
        <v>0</v>
      </c>
      <c r="K1959" s="13" t="str">
        <f t="shared" si="412"/>
        <v>Twitter for Android</v>
      </c>
      <c r="L1959" s="12">
        <v>299</v>
      </c>
      <c r="M1959" s="12">
        <v>402</v>
      </c>
      <c r="N1959" s="12">
        <v>13</v>
      </c>
      <c r="O1959" s="15"/>
      <c r="P1959" s="6">
        <v>40833.537453703706</v>
      </c>
      <c r="Q1959" s="16" t="s">
        <v>7623</v>
      </c>
      <c r="R1959" s="19"/>
      <c r="S1959" s="14" t="s">
        <v>7624</v>
      </c>
      <c r="T1959" s="11"/>
      <c r="U1959" s="10" t="str">
        <f t="shared" ref="U1959:U1960" si="414">HYPERLINK("https://pbs.twimg.com/profile_images/3373895461/bba6e34412da1deef1c95f54c1af0d8e.jpeg","View")</f>
        <v>View</v>
      </c>
    </row>
    <row r="1960" spans="1:21" ht="20.399999999999999">
      <c r="A1960" s="6">
        <v>43424.981388888889</v>
      </c>
      <c r="B1960" s="7" t="str">
        <f t="shared" si="413"/>
        <v>@CarlosLopezMar</v>
      </c>
      <c r="C1960" s="8" t="s">
        <v>7622</v>
      </c>
      <c r="D1960" s="9" t="s">
        <v>7189</v>
      </c>
      <c r="E1960" s="10" t="str">
        <f>HYPERLINK("https://twitter.com/CarlosLopezMar/status/1065146091451097089","1065146091451097089")</f>
        <v>1065146091451097089</v>
      </c>
      <c r="F1960" s="14" t="s">
        <v>4200</v>
      </c>
      <c r="G1960" s="11"/>
      <c r="H1960" s="11"/>
      <c r="I1960" s="12">
        <v>0</v>
      </c>
      <c r="J1960" s="12">
        <v>0</v>
      </c>
      <c r="K1960" s="13" t="str">
        <f t="shared" si="412"/>
        <v>Twitter for Android</v>
      </c>
      <c r="L1960" s="12">
        <v>299</v>
      </c>
      <c r="M1960" s="12">
        <v>402</v>
      </c>
      <c r="N1960" s="12">
        <v>13</v>
      </c>
      <c r="O1960" s="15"/>
      <c r="P1960" s="6">
        <v>40833.537453703706</v>
      </c>
      <c r="Q1960" s="16" t="s">
        <v>7623</v>
      </c>
      <c r="R1960" s="19"/>
      <c r="S1960" s="14" t="s">
        <v>7624</v>
      </c>
      <c r="T1960" s="11"/>
      <c r="U1960" s="10" t="str">
        <f t="shared" si="414"/>
        <v>View</v>
      </c>
    </row>
    <row r="1961" spans="1:21" ht="13.2">
      <c r="A1961" s="6">
        <v>43424.979594907403</v>
      </c>
      <c r="B1961" s="7" t="str">
        <f>HYPERLINK("https://twitter.com/desdefuer","@desdefuer")</f>
        <v>@desdefuer</v>
      </c>
      <c r="C1961" s="8" t="s">
        <v>7625</v>
      </c>
      <c r="D1961" s="9" t="s">
        <v>6996</v>
      </c>
      <c r="E1961" s="10" t="str">
        <f>HYPERLINK("https://twitter.com/desdefuer/status/1065145443749978113","1065145443749978113")</f>
        <v>1065145443749978113</v>
      </c>
      <c r="F1961" s="14" t="s">
        <v>4200</v>
      </c>
      <c r="G1961" s="11"/>
      <c r="H1961" s="11"/>
      <c r="I1961" s="12">
        <v>1</v>
      </c>
      <c r="J1961" s="12">
        <v>0</v>
      </c>
      <c r="K1961" s="13" t="str">
        <f>HYPERLINK("http://twitter.com/#!/download/ipad","Twitter for iPad")</f>
        <v>Twitter for iPad</v>
      </c>
      <c r="L1961" s="12">
        <v>991</v>
      </c>
      <c r="M1961" s="12">
        <v>838</v>
      </c>
      <c r="N1961" s="12">
        <v>21</v>
      </c>
      <c r="O1961" s="15"/>
      <c r="P1961" s="6">
        <v>40317.181840277779</v>
      </c>
      <c r="Q1961" s="16" t="s">
        <v>7626</v>
      </c>
      <c r="R1961" s="17" t="s">
        <v>7627</v>
      </c>
      <c r="S1961" s="14" t="s">
        <v>7628</v>
      </c>
      <c r="T1961" s="11"/>
      <c r="U1961" s="10" t="str">
        <f>HYPERLINK("https://pbs.twimg.com/profile_images/546066419944005632/9OXqg95M.jpeg","View")</f>
        <v>View</v>
      </c>
    </row>
    <row r="1962" spans="1:21" ht="30.6">
      <c r="A1962" s="6">
        <v>43424.978090277778</v>
      </c>
      <c r="B1962" s="7" t="str">
        <f>HYPERLINK("https://twitter.com/pepebass3","@pepebass3")</f>
        <v>@pepebass3</v>
      </c>
      <c r="C1962" s="8" t="s">
        <v>7629</v>
      </c>
      <c r="D1962" s="9" t="s">
        <v>7630</v>
      </c>
      <c r="E1962" s="10" t="str">
        <f>HYPERLINK("https://twitter.com/pepebass3/status/1065144898314268672","1065144898314268672")</f>
        <v>1065144898314268672</v>
      </c>
      <c r="F1962" s="11"/>
      <c r="G1962" s="14" t="s">
        <v>7631</v>
      </c>
      <c r="H1962" s="11"/>
      <c r="I1962" s="12">
        <v>0</v>
      </c>
      <c r="J1962" s="12">
        <v>0</v>
      </c>
      <c r="K1962" s="13" t="str">
        <f t="shared" ref="K1962:K1963" si="415">HYPERLINK("http://twitter.com/download/android","Twitter for Android")</f>
        <v>Twitter for Android</v>
      </c>
      <c r="L1962" s="12">
        <v>1366</v>
      </c>
      <c r="M1962" s="12">
        <v>1316</v>
      </c>
      <c r="N1962" s="12">
        <v>25</v>
      </c>
      <c r="O1962" s="15"/>
      <c r="P1962" s="6">
        <v>41975.441504629634</v>
      </c>
      <c r="Q1962" s="11"/>
      <c r="R1962" s="17" t="s">
        <v>7632</v>
      </c>
      <c r="S1962" s="11"/>
      <c r="T1962" s="11"/>
      <c r="U1962" s="10" t="str">
        <f>HYPERLINK("https://pbs.twimg.com/profile_images/1053350256602218498/SPtgU6b4.jpg","View")</f>
        <v>View</v>
      </c>
    </row>
    <row r="1963" spans="1:21" ht="102">
      <c r="A1963" s="6">
        <v>43424.977824074071</v>
      </c>
      <c r="B1963" s="7" t="str">
        <f>HYPERLINK("https://twitter.com/2mas2noson5","@2mas2noson5")</f>
        <v>@2mas2noson5</v>
      </c>
      <c r="C1963" s="8" t="s">
        <v>4609</v>
      </c>
      <c r="D1963" s="9" t="s">
        <v>4610</v>
      </c>
      <c r="E1963" s="10" t="str">
        <f>HYPERLINK("https://twitter.com/2mas2noson5/status/1065144799966175232","1065144799966175232")</f>
        <v>1065144799966175232</v>
      </c>
      <c r="F1963" s="16" t="s">
        <v>4611</v>
      </c>
      <c r="G1963" s="11"/>
      <c r="H1963" s="11"/>
      <c r="I1963" s="12">
        <v>1</v>
      </c>
      <c r="J1963" s="12">
        <v>1</v>
      </c>
      <c r="K1963" s="13" t="str">
        <f t="shared" si="415"/>
        <v>Twitter for Android</v>
      </c>
      <c r="L1963" s="12">
        <v>1848</v>
      </c>
      <c r="M1963" s="12">
        <v>908</v>
      </c>
      <c r="N1963" s="12">
        <v>44</v>
      </c>
      <c r="O1963" s="15"/>
      <c r="P1963" s="6">
        <v>41075.622199074074</v>
      </c>
      <c r="Q1963" s="11"/>
      <c r="R1963" s="17" t="s">
        <v>4612</v>
      </c>
      <c r="S1963" s="11"/>
      <c r="T1963" s="11"/>
      <c r="U1963" s="10" t="str">
        <f>HYPERLINK("https://pbs.twimg.com/profile_images/378800000114945160/5f6d9f7340a830fe1a76ecc4bbd08946.jpeg","View")</f>
        <v>View</v>
      </c>
    </row>
    <row r="1964" spans="1:21" ht="20.399999999999999">
      <c r="A1964" s="6">
        <v>43424.977418981478</v>
      </c>
      <c r="B1964" s="7" t="str">
        <f>HYPERLINK("https://twitter.com/cerclecastellbi","@cerclecastellbi")</f>
        <v>@cerclecastellbi</v>
      </c>
      <c r="C1964" s="8" t="s">
        <v>7633</v>
      </c>
      <c r="D1964" s="9" t="s">
        <v>7634</v>
      </c>
      <c r="E1964" s="10" t="str">
        <f>HYPERLINK("https://twitter.com/cerclecastellbi/status/1065144653907968000","1065144653907968000")</f>
        <v>1065144653907968000</v>
      </c>
      <c r="F1964" s="14" t="s">
        <v>7635</v>
      </c>
      <c r="G1964" s="11"/>
      <c r="H1964" s="11"/>
      <c r="I1964" s="12">
        <v>0</v>
      </c>
      <c r="J1964" s="12">
        <v>0</v>
      </c>
      <c r="K1964" s="13" t="str">
        <f>HYPERLINK("http://www.facebook.com/twitter","Facebook")</f>
        <v>Facebook</v>
      </c>
      <c r="L1964" s="12">
        <v>108</v>
      </c>
      <c r="M1964" s="12">
        <v>50</v>
      </c>
      <c r="N1964" s="12">
        <v>16</v>
      </c>
      <c r="O1964" s="15"/>
      <c r="P1964" s="6">
        <v>42368.26966435185</v>
      </c>
      <c r="Q1964" s="16" t="s">
        <v>7636</v>
      </c>
      <c r="R1964" s="19"/>
      <c r="S1964" s="11"/>
      <c r="T1964" s="11"/>
      <c r="U1964" s="10" t="str">
        <f>HYPERLINK("https://pbs.twimg.com/profile_images/765236273317412864/cuf9x9q5.jpg","View")</f>
        <v>View</v>
      </c>
    </row>
    <row r="1965" spans="1:21" ht="30.6">
      <c r="A1965" s="6">
        <v>43424.97657407407</v>
      </c>
      <c r="B1965" s="7" t="str">
        <f>HYPERLINK("https://twitter.com/maxalvareztever","@maxalvareztever")</f>
        <v>@maxalvareztever</v>
      </c>
      <c r="C1965" s="8" t="s">
        <v>6540</v>
      </c>
      <c r="D1965" s="9" t="s">
        <v>7637</v>
      </c>
      <c r="E1965" s="10" t="str">
        <f>HYPERLINK("https://twitter.com/maxalvareztever/status/1065144346901716992","1065144346901716992")</f>
        <v>1065144346901716992</v>
      </c>
      <c r="F1965" s="14" t="s">
        <v>7197</v>
      </c>
      <c r="G1965" s="11"/>
      <c r="H1965" s="11"/>
      <c r="I1965" s="12">
        <v>0</v>
      </c>
      <c r="J1965" s="12">
        <v>0</v>
      </c>
      <c r="K1965" s="13" t="str">
        <f>HYPERLINK("https://www.google.com/","Google")</f>
        <v>Google</v>
      </c>
      <c r="L1965" s="12">
        <v>949</v>
      </c>
      <c r="M1965" s="12">
        <v>1953</v>
      </c>
      <c r="N1965" s="12">
        <v>15</v>
      </c>
      <c r="O1965" s="15"/>
      <c r="P1965" s="6">
        <v>40562.500914351855</v>
      </c>
      <c r="Q1965" s="16" t="s">
        <v>6542</v>
      </c>
      <c r="R1965" s="17" t="s">
        <v>6543</v>
      </c>
      <c r="S1965" s="11"/>
      <c r="T1965" s="11"/>
      <c r="U1965" s="10" t="str">
        <f>HYPERLINK("https://pbs.twimg.com/profile_images/1713837472/DSC_0178-2.jpg","View")</f>
        <v>View</v>
      </c>
    </row>
    <row r="1966" spans="1:21" ht="20.399999999999999">
      <c r="A1966" s="6">
        <v>43424.976331018523</v>
      </c>
      <c r="B1966" s="7" t="str">
        <f>HYPERLINK("https://twitter.com/Espina11041959","@Espina11041959")</f>
        <v>@Espina11041959</v>
      </c>
      <c r="C1966" s="8" t="s">
        <v>7638</v>
      </c>
      <c r="D1966" s="9" t="s">
        <v>7189</v>
      </c>
      <c r="E1966" s="10" t="str">
        <f>HYPERLINK("https://twitter.com/Espina11041959/status/1065144259802775552","1065144259802775552")</f>
        <v>1065144259802775552</v>
      </c>
      <c r="F1966" s="14" t="s">
        <v>4200</v>
      </c>
      <c r="G1966" s="11"/>
      <c r="H1966" s="11"/>
      <c r="I1966" s="12">
        <v>0</v>
      </c>
      <c r="J1966" s="12">
        <v>1</v>
      </c>
      <c r="K1966" s="13" t="str">
        <f t="shared" ref="K1966:K1969" si="416">HYPERLINK("http://twitter.com/download/android","Twitter for Android")</f>
        <v>Twitter for Android</v>
      </c>
      <c r="L1966" s="12">
        <v>1485</v>
      </c>
      <c r="M1966" s="12">
        <v>1825</v>
      </c>
      <c r="N1966" s="12">
        <v>16</v>
      </c>
      <c r="O1966" s="15"/>
      <c r="P1966" s="6">
        <v>42990.067118055551</v>
      </c>
      <c r="Q1966" s="16" t="s">
        <v>6890</v>
      </c>
      <c r="R1966" s="17" t="s">
        <v>7639</v>
      </c>
      <c r="S1966" s="11"/>
      <c r="T1966" s="11"/>
      <c r="U1966" s="10" t="str">
        <f>HYPERLINK("https://pbs.twimg.com/profile_images/1051010843821965312/ky5T_kkT.jpg","View")</f>
        <v>View</v>
      </c>
    </row>
    <row r="1967" spans="1:21" ht="51">
      <c r="A1967" s="6">
        <v>43424.975104166668</v>
      </c>
      <c r="B1967" s="7" t="str">
        <f>HYPERLINK("https://twitter.com/josep_turu","@josep_turu")</f>
        <v>@josep_turu</v>
      </c>
      <c r="C1967" s="8" t="s">
        <v>481</v>
      </c>
      <c r="D1967" s="9" t="s">
        <v>4615</v>
      </c>
      <c r="E1967" s="10" t="str">
        <f>HYPERLINK("https://twitter.com/josep_turu/status/1065143815185580034","1065143815185580034")</f>
        <v>1065143815185580034</v>
      </c>
      <c r="F1967" s="11"/>
      <c r="G1967" s="11"/>
      <c r="H1967" s="11"/>
      <c r="I1967" s="12">
        <v>0</v>
      </c>
      <c r="J1967" s="12">
        <v>0</v>
      </c>
      <c r="K1967" s="13" t="str">
        <f t="shared" si="416"/>
        <v>Twitter for Android</v>
      </c>
      <c r="L1967" s="12">
        <v>254</v>
      </c>
      <c r="M1967" s="12">
        <v>432</v>
      </c>
      <c r="N1967" s="12">
        <v>0</v>
      </c>
      <c r="O1967" s="15"/>
      <c r="P1967" s="6">
        <v>43327.486666666664</v>
      </c>
      <c r="Q1967" s="16" t="s">
        <v>483</v>
      </c>
      <c r="R1967" s="17" t="s">
        <v>484</v>
      </c>
      <c r="S1967" s="14" t="s">
        <v>485</v>
      </c>
      <c r="T1967" s="11"/>
      <c r="U1967" s="10" t="str">
        <f>HYPERLINK("https://pbs.twimg.com/profile_images/1031129221714923520/Svss_bB9.jpg","View")</f>
        <v>View</v>
      </c>
    </row>
    <row r="1968" spans="1:21" ht="51">
      <c r="A1968" s="6">
        <v>43424.974386574075</v>
      </c>
      <c r="B1968" s="7" t="str">
        <f>HYPERLINK("https://twitter.com/XuaninAstur","@XuaninAstur")</f>
        <v>@XuaninAstur</v>
      </c>
      <c r="C1968" s="8" t="s">
        <v>4618</v>
      </c>
      <c r="D1968" s="9" t="s">
        <v>4619</v>
      </c>
      <c r="E1968" s="10" t="str">
        <f>HYPERLINK("https://twitter.com/XuaninAstur/status/1065143555117760513","1065143555117760513")</f>
        <v>1065143555117760513</v>
      </c>
      <c r="F1968" s="14" t="s">
        <v>4620</v>
      </c>
      <c r="G1968" s="14" t="s">
        <v>4621</v>
      </c>
      <c r="H1968" s="11"/>
      <c r="I1968" s="12">
        <v>0</v>
      </c>
      <c r="J1968" s="12">
        <v>0</v>
      </c>
      <c r="K1968" s="13" t="str">
        <f t="shared" si="416"/>
        <v>Twitter for Android</v>
      </c>
      <c r="L1968" s="12">
        <v>98</v>
      </c>
      <c r="M1968" s="12">
        <v>183</v>
      </c>
      <c r="N1968" s="12">
        <v>2</v>
      </c>
      <c r="O1968" s="15"/>
      <c r="P1968" s="6">
        <v>41386.194490740745</v>
      </c>
      <c r="Q1968" s="16" t="s">
        <v>4622</v>
      </c>
      <c r="R1968" s="17" t="s">
        <v>4623</v>
      </c>
      <c r="S1968" s="11"/>
      <c r="T1968" s="11"/>
      <c r="U1968" s="10" t="str">
        <f>HYPERLINK("https://pbs.twimg.com/profile_images/970794504285540352/AjrThD24.jpg","View")</f>
        <v>View</v>
      </c>
    </row>
    <row r="1969" spans="1:21" ht="20.399999999999999">
      <c r="A1969" s="6">
        <v>43424.963842592595</v>
      </c>
      <c r="B1969" s="7" t="str">
        <f>HYPERLINK("https://twitter.com/maribelbotoah","@maribelbotoah")</f>
        <v>@maribelbotoah</v>
      </c>
      <c r="C1969" s="8" t="s">
        <v>7184</v>
      </c>
      <c r="D1969" s="9" t="s">
        <v>7189</v>
      </c>
      <c r="E1969" s="10" t="str">
        <f>HYPERLINK("https://twitter.com/maribelbotoah/status/1065139734253576192","1065139734253576192")</f>
        <v>1065139734253576192</v>
      </c>
      <c r="F1969" s="14" t="s">
        <v>4200</v>
      </c>
      <c r="G1969" s="11"/>
      <c r="H1969" s="11"/>
      <c r="I1969" s="12">
        <v>0</v>
      </c>
      <c r="J1969" s="12">
        <v>0</v>
      </c>
      <c r="K1969" s="13" t="str">
        <f t="shared" si="416"/>
        <v>Twitter for Android</v>
      </c>
      <c r="L1969" s="12">
        <v>4465</v>
      </c>
      <c r="M1969" s="12">
        <v>1742</v>
      </c>
      <c r="N1969" s="12">
        <v>59</v>
      </c>
      <c r="O1969" s="15"/>
      <c r="P1969" s="6">
        <v>41332.535451388889</v>
      </c>
      <c r="Q1969" s="11"/>
      <c r="R1969" s="17" t="s">
        <v>7187</v>
      </c>
      <c r="S1969" s="11"/>
      <c r="T1969" s="11"/>
      <c r="U1969" s="10" t="str">
        <f>HYPERLINK("https://pbs.twimg.com/profile_images/1063457737433067520/XPVdx4id.jpg","View")</f>
        <v>View</v>
      </c>
    </row>
    <row r="1970" spans="1:21" ht="40.799999999999997">
      <c r="A1970" s="6">
        <v>43424.961458333331</v>
      </c>
      <c r="B1970" s="7" t="str">
        <f>HYPERLINK("https://twitter.com/elLokoOnFire","@elLokoOnFire")</f>
        <v>@elLokoOnFire</v>
      </c>
      <c r="C1970" s="8" t="s">
        <v>4624</v>
      </c>
      <c r="D1970" s="9" t="s">
        <v>4625</v>
      </c>
      <c r="E1970" s="10" t="str">
        <f>HYPERLINK("https://twitter.com/elLokoOnFire/status/1065138869123854337","1065138869123854337")</f>
        <v>1065138869123854337</v>
      </c>
      <c r="F1970" s="14" t="s">
        <v>4626</v>
      </c>
      <c r="G1970" s="11"/>
      <c r="H1970" s="11"/>
      <c r="I1970" s="12">
        <v>2</v>
      </c>
      <c r="J1970" s="12">
        <v>0</v>
      </c>
      <c r="K1970" s="13" t="str">
        <f>HYPERLINK("http://twitter.com/download/iphone","Twitter for iPhone")</f>
        <v>Twitter for iPhone</v>
      </c>
      <c r="L1970" s="12">
        <v>3185</v>
      </c>
      <c r="M1970" s="12">
        <v>2784</v>
      </c>
      <c r="N1970" s="12">
        <v>9</v>
      </c>
      <c r="O1970" s="15"/>
      <c r="P1970" s="6">
        <v>42794.169652777782</v>
      </c>
      <c r="Q1970" s="16" t="s">
        <v>4627</v>
      </c>
      <c r="R1970" s="17" t="s">
        <v>4628</v>
      </c>
      <c r="S1970" s="11"/>
      <c r="T1970" s="11"/>
      <c r="U1970" s="10" t="str">
        <f>HYPERLINK("https://pbs.twimg.com/profile_images/836569302023221250/KFiIuXuN.jpg","View")</f>
        <v>View</v>
      </c>
    </row>
    <row r="1971" spans="1:21" ht="20.399999999999999">
      <c r="A1971" s="6">
        <v>43424.9612037037</v>
      </c>
      <c r="B1971" s="7" t="str">
        <f>HYPERLINK("https://twitter.com/ramondeveciana","@ramondeveciana")</f>
        <v>@ramondeveciana</v>
      </c>
      <c r="C1971" s="8" t="s">
        <v>6537</v>
      </c>
      <c r="D1971" s="9" t="s">
        <v>7189</v>
      </c>
      <c r="E1971" s="10" t="str">
        <f>HYPERLINK("https://twitter.com/ramondeveciana/status/1065138777042165761","1065138777042165761")</f>
        <v>1065138777042165761</v>
      </c>
      <c r="F1971" s="14" t="s">
        <v>4200</v>
      </c>
      <c r="G1971" s="11"/>
      <c r="H1971" s="11"/>
      <c r="I1971" s="12">
        <v>0</v>
      </c>
      <c r="J1971" s="12">
        <v>0</v>
      </c>
      <c r="K1971" s="13" t="str">
        <f>HYPERLINK("http://twitter.com","Twitter Web Client")</f>
        <v>Twitter Web Client</v>
      </c>
      <c r="L1971" s="12">
        <v>7211</v>
      </c>
      <c r="M1971" s="12">
        <v>6337</v>
      </c>
      <c r="N1971" s="12">
        <v>177</v>
      </c>
      <c r="O1971" s="15"/>
      <c r="P1971" s="6">
        <v>40398.054722222223</v>
      </c>
      <c r="Q1971" s="16" t="s">
        <v>256</v>
      </c>
      <c r="R1971" s="17" t="s">
        <v>6539</v>
      </c>
      <c r="S1971" s="11"/>
      <c r="T1971" s="11"/>
      <c r="U1971" s="10" t="str">
        <f>HYPERLINK("https://pbs.twimg.com/profile_images/989589036477108226/zOdm_ezv.jpg","View")</f>
        <v>View</v>
      </c>
    </row>
    <row r="1972" spans="1:21" ht="40.799999999999997">
      <c r="A1972" s="6">
        <v>43424.958796296298</v>
      </c>
      <c r="B1972" s="7" t="str">
        <f>HYPERLINK("https://twitter.com/GarteizMikel","@GarteizMikel")</f>
        <v>@GarteizMikel</v>
      </c>
      <c r="C1972" s="8" t="s">
        <v>7640</v>
      </c>
      <c r="D1972" s="9" t="s">
        <v>7641</v>
      </c>
      <c r="E1972" s="10" t="str">
        <f>HYPERLINK("https://twitter.com/GarteizMikel/status/1065137903246950403","1065137903246950403")</f>
        <v>1065137903246950403</v>
      </c>
      <c r="F1972" s="14" t="s">
        <v>7615</v>
      </c>
      <c r="G1972" s="11"/>
      <c r="H1972" s="11"/>
      <c r="I1972" s="12">
        <v>0</v>
      </c>
      <c r="J1972" s="12">
        <v>0</v>
      </c>
      <c r="K1972" s="13" t="str">
        <f t="shared" ref="K1972:K1973" si="417">HYPERLINK("http://twitter.com/download/android","Twitter for Android")</f>
        <v>Twitter for Android</v>
      </c>
      <c r="L1972" s="12">
        <v>8</v>
      </c>
      <c r="M1972" s="12">
        <v>60</v>
      </c>
      <c r="N1972" s="12">
        <v>1</v>
      </c>
      <c r="O1972" s="15"/>
      <c r="P1972" s="6">
        <v>41948.366689814815</v>
      </c>
      <c r="Q1972" s="16" t="s">
        <v>7642</v>
      </c>
      <c r="R1972" s="17" t="s">
        <v>7643</v>
      </c>
      <c r="S1972" s="11"/>
      <c r="T1972" s="11"/>
      <c r="U1972" s="10" t="str">
        <f>HYPERLINK("https://pbs.twimg.com/profile_images/973890990120554496/7blgrQXQ.jpg","View")</f>
        <v>View</v>
      </c>
    </row>
    <row r="1973" spans="1:21" ht="20.399999999999999">
      <c r="A1973" s="6">
        <v>43424.958344907413</v>
      </c>
      <c r="B1973" s="7" t="str">
        <f>HYPERLINK("https://twitter.com/LuisAlb87688384","@LuisAlb87688384")</f>
        <v>@LuisAlb87688384</v>
      </c>
      <c r="C1973" s="8" t="s">
        <v>7644</v>
      </c>
      <c r="D1973" s="9" t="s">
        <v>7189</v>
      </c>
      <c r="E1973" s="10" t="str">
        <f>HYPERLINK("https://twitter.com/LuisAlb87688384/status/1065137741242007553","1065137741242007553")</f>
        <v>1065137741242007553</v>
      </c>
      <c r="F1973" s="14" t="s">
        <v>4200</v>
      </c>
      <c r="G1973" s="11"/>
      <c r="H1973" s="11"/>
      <c r="I1973" s="12">
        <v>0</v>
      </c>
      <c r="J1973" s="12">
        <v>0</v>
      </c>
      <c r="K1973" s="13" t="str">
        <f t="shared" si="417"/>
        <v>Twitter for Android</v>
      </c>
      <c r="L1973" s="12">
        <v>56</v>
      </c>
      <c r="M1973" s="12">
        <v>67</v>
      </c>
      <c r="N1973" s="12">
        <v>0</v>
      </c>
      <c r="O1973" s="15"/>
      <c r="P1973" s="6">
        <v>42641.564305555556</v>
      </c>
      <c r="Q1973" s="11"/>
      <c r="R1973" s="17" t="s">
        <v>7645</v>
      </c>
      <c r="S1973" s="11"/>
      <c r="T1973" s="11"/>
      <c r="U1973" s="10" t="str">
        <f>HYPERLINK("https://pbs.twimg.com/profile_images/934800927193780225/pAs7j9sw.jpg","View")</f>
        <v>View</v>
      </c>
    </row>
    <row r="1974" spans="1:21" ht="40.799999999999997">
      <c r="A1974" s="6">
        <v>43424.95820601852</v>
      </c>
      <c r="B1974" s="7" t="str">
        <f>HYPERLINK("https://twitter.com/PdeSamos","@PdeSamos")</f>
        <v>@PdeSamos</v>
      </c>
      <c r="C1974" s="8" t="s">
        <v>3877</v>
      </c>
      <c r="D1974" s="9" t="s">
        <v>7646</v>
      </c>
      <c r="E1974" s="10" t="str">
        <f>HYPERLINK("https://twitter.com/PdeSamos/status/1065137689194885120","1065137689194885120")</f>
        <v>1065137689194885120</v>
      </c>
      <c r="F1974" s="14" t="s">
        <v>7647</v>
      </c>
      <c r="G1974" s="11"/>
      <c r="H1974" s="11"/>
      <c r="I1974" s="12">
        <v>0</v>
      </c>
      <c r="J1974" s="12">
        <v>0</v>
      </c>
      <c r="K1974" s="13" t="str">
        <f>HYPERLINK("http://republico.ddns.net","App Libertad PdeSamos")</f>
        <v>App Libertad PdeSamos</v>
      </c>
      <c r="L1974" s="12">
        <v>5283</v>
      </c>
      <c r="M1974" s="12">
        <v>5301</v>
      </c>
      <c r="N1974" s="12">
        <v>12</v>
      </c>
      <c r="O1974" s="15"/>
      <c r="P1974" s="6">
        <v>42889.445567129631</v>
      </c>
      <c r="Q1974" s="16" t="s">
        <v>3881</v>
      </c>
      <c r="R1974" s="17" t="s">
        <v>3882</v>
      </c>
      <c r="S1974" s="11"/>
      <c r="T1974" s="11"/>
      <c r="U1974" s="10" t="str">
        <f>HYPERLINK("https://pbs.twimg.com/profile_images/871063742003511296/xK2IYbrO.jpg","View")</f>
        <v>View</v>
      </c>
    </row>
    <row r="1975" spans="1:21" ht="71.400000000000006">
      <c r="A1975" s="6">
        <v>43424.957384259258</v>
      </c>
      <c r="B1975" s="7" t="str">
        <f>HYPERLINK("https://twitter.com/AVI_80","@AVI_80")</f>
        <v>@AVI_80</v>
      </c>
      <c r="C1975" s="8" t="s">
        <v>4629</v>
      </c>
      <c r="D1975" s="9" t="s">
        <v>4630</v>
      </c>
      <c r="E1975" s="10" t="str">
        <f>HYPERLINK("https://twitter.com/AVI_80/status/1065137394612137984","1065137394612137984")</f>
        <v>1065137394612137984</v>
      </c>
      <c r="F1975" s="16" t="s">
        <v>4631</v>
      </c>
      <c r="G1975" s="11"/>
      <c r="H1975" s="11"/>
      <c r="I1975" s="12">
        <v>1</v>
      </c>
      <c r="J1975" s="12">
        <v>0</v>
      </c>
      <c r="K1975" s="13" t="str">
        <f>HYPERLINK("http://twitter.com/download/android","Twitter for Android")</f>
        <v>Twitter for Android</v>
      </c>
      <c r="L1975" s="12">
        <v>75</v>
      </c>
      <c r="M1975" s="12">
        <v>535</v>
      </c>
      <c r="N1975" s="12">
        <v>0</v>
      </c>
      <c r="O1975" s="15"/>
      <c r="P1975" s="6">
        <v>40615.414583333331</v>
      </c>
      <c r="Q1975" s="11"/>
      <c r="R1975" s="19"/>
      <c r="S1975" s="11"/>
      <c r="T1975" s="11"/>
      <c r="U1975" s="10" t="str">
        <f>HYPERLINK("https://pbs.twimg.com/profile_images/982398268486365185/29O0iAGh.jpg","View")</f>
        <v>View</v>
      </c>
    </row>
    <row r="1976" spans="1:21" ht="20.399999999999999">
      <c r="A1976" s="6">
        <v>43424.955914351856</v>
      </c>
      <c r="B1976" s="7" t="str">
        <f>HYPERLINK("https://twitter.com/MVidaller","@MVidaller")</f>
        <v>@MVidaller</v>
      </c>
      <c r="C1976" s="8" t="s">
        <v>7648</v>
      </c>
      <c r="D1976" s="9" t="s">
        <v>7649</v>
      </c>
      <c r="E1976" s="10" t="str">
        <f>HYPERLINK("https://twitter.com/MVidaller/status/1065136861071450112","1065136861071450112")</f>
        <v>1065136861071450112</v>
      </c>
      <c r="F1976" s="14" t="s">
        <v>7650</v>
      </c>
      <c r="G1976" s="11"/>
      <c r="H1976" s="11"/>
      <c r="I1976" s="12">
        <v>0</v>
      </c>
      <c r="J1976" s="12">
        <v>0</v>
      </c>
      <c r="K1976" s="13" t="str">
        <f>HYPERLINK("http://twitter.com","Twitter Web Client")</f>
        <v>Twitter Web Client</v>
      </c>
      <c r="L1976" s="12">
        <v>424</v>
      </c>
      <c r="M1976" s="12">
        <v>2270</v>
      </c>
      <c r="N1976" s="12">
        <v>6</v>
      </c>
      <c r="O1976" s="15"/>
      <c r="P1976" s="6">
        <v>40922.480300925927</v>
      </c>
      <c r="Q1976" s="16" t="s">
        <v>5633</v>
      </c>
      <c r="R1976" s="17" t="s">
        <v>7651</v>
      </c>
      <c r="S1976" s="11"/>
      <c r="T1976" s="11"/>
      <c r="U1976" s="10" t="str">
        <f>HYPERLINK("https://pbs.twimg.com/profile_images/921120763096305664/dKmjiWJU.jpg","View")</f>
        <v>View</v>
      </c>
    </row>
    <row r="1977" spans="1:21" ht="40.799999999999997">
      <c r="A1977" s="6">
        <v>43424.953553240739</v>
      </c>
      <c r="B1977" s="7" t="str">
        <f>HYPERLINK("https://twitter.com/Rivasforo","@Rivasforo")</f>
        <v>@Rivasforo</v>
      </c>
      <c r="C1977" s="8" t="s">
        <v>7652</v>
      </c>
      <c r="D1977" s="9" t="s">
        <v>7653</v>
      </c>
      <c r="E1977" s="10" t="str">
        <f>HYPERLINK("https://twitter.com/Rivasforo/status/1065136004577804291","1065136004577804291")</f>
        <v>1065136004577804291</v>
      </c>
      <c r="F1977" s="14" t="s">
        <v>7654</v>
      </c>
      <c r="G1977" s="11"/>
      <c r="H1977" s="11"/>
      <c r="I1977" s="12">
        <v>0</v>
      </c>
      <c r="J1977" s="12">
        <v>0</v>
      </c>
      <c r="K1977" s="13" t="str">
        <f>HYPERLINK("http://www.facebook.com/twitter","Facebook")</f>
        <v>Facebook</v>
      </c>
      <c r="L1977" s="12">
        <v>2576</v>
      </c>
      <c r="M1977" s="12">
        <v>1890</v>
      </c>
      <c r="N1977" s="12">
        <v>47</v>
      </c>
      <c r="O1977" s="15"/>
      <c r="P1977" s="6">
        <v>41227.395891203705</v>
      </c>
      <c r="Q1977" s="16" t="s">
        <v>7655</v>
      </c>
      <c r="R1977" s="17" t="s">
        <v>7655</v>
      </c>
      <c r="S1977" s="14" t="s">
        <v>7656</v>
      </c>
      <c r="T1977" s="11"/>
      <c r="U1977" s="10" t="str">
        <f>HYPERLINK("https://pbs.twimg.com/profile_images/1061562932385988609/ZW9TCSNb.jpg","View")</f>
        <v>View</v>
      </c>
    </row>
    <row r="1978" spans="1:21" ht="40.799999999999997">
      <c r="A1978" s="6">
        <v>43424.9534375</v>
      </c>
      <c r="B1978" s="7" t="str">
        <f>HYPERLINK("https://twitter.com/NemesisSXX","@NemesisSXX")</f>
        <v>@NemesisSXX</v>
      </c>
      <c r="C1978" s="8" t="s">
        <v>2512</v>
      </c>
      <c r="D1978" s="9" t="s">
        <v>7189</v>
      </c>
      <c r="E1978" s="10" t="str">
        <f>HYPERLINK("https://twitter.com/NemesisSXX/status/1065135964442513408","1065135964442513408")</f>
        <v>1065135964442513408</v>
      </c>
      <c r="F1978" s="14" t="s">
        <v>4200</v>
      </c>
      <c r="G1978" s="11"/>
      <c r="H1978" s="11"/>
      <c r="I1978" s="12">
        <v>0</v>
      </c>
      <c r="J1978" s="12">
        <v>0</v>
      </c>
      <c r="K1978" s="13" t="str">
        <f t="shared" ref="K1978:K1980" si="418">HYPERLINK("http://twitter.com","Twitter Web Client")</f>
        <v>Twitter Web Client</v>
      </c>
      <c r="L1978" s="12">
        <v>145</v>
      </c>
      <c r="M1978" s="12">
        <v>185</v>
      </c>
      <c r="N1978" s="12">
        <v>3</v>
      </c>
      <c r="O1978" s="15"/>
      <c r="P1978" s="6">
        <v>41804.368564814817</v>
      </c>
      <c r="Q1978" s="11"/>
      <c r="R1978" s="17" t="s">
        <v>2516</v>
      </c>
      <c r="S1978" s="11"/>
      <c r="T1978" s="11"/>
      <c r="U1978" s="18" t="s">
        <v>168</v>
      </c>
    </row>
    <row r="1979" spans="1:21" ht="20.399999999999999">
      <c r="A1979" s="6">
        <v>43424.953252314815</v>
      </c>
      <c r="B1979" s="7" t="str">
        <f>HYPERLINK("https://twitter.com/RobertooFinch","@RobertooFinch")</f>
        <v>@RobertooFinch</v>
      </c>
      <c r="C1979" s="8" t="s">
        <v>7657</v>
      </c>
      <c r="D1979" s="9" t="s">
        <v>7288</v>
      </c>
      <c r="E1979" s="10" t="str">
        <f>HYPERLINK("https://twitter.com/RobertooFinch/status/1065135894833889280","1065135894833889280")</f>
        <v>1065135894833889280</v>
      </c>
      <c r="F1979" s="14" t="s">
        <v>4200</v>
      </c>
      <c r="G1979" s="11"/>
      <c r="H1979" s="11"/>
      <c r="I1979" s="12">
        <v>0</v>
      </c>
      <c r="J1979" s="12">
        <v>0</v>
      </c>
      <c r="K1979" s="13" t="str">
        <f t="shared" si="418"/>
        <v>Twitter Web Client</v>
      </c>
      <c r="L1979" s="12">
        <v>1038</v>
      </c>
      <c r="M1979" s="12">
        <v>1204</v>
      </c>
      <c r="N1979" s="12">
        <v>16</v>
      </c>
      <c r="O1979" s="15"/>
      <c r="P1979" s="6">
        <v>40109.18032407407</v>
      </c>
      <c r="Q1979" s="11"/>
      <c r="R1979" s="19"/>
      <c r="S1979" s="11"/>
      <c r="T1979" s="11"/>
      <c r="U1979" s="10" t="str">
        <f>HYPERLINK("https://pbs.twimg.com/profile_images/778515238903812096/2M4c6Q6s.jpg","View")</f>
        <v>View</v>
      </c>
    </row>
    <row r="1980" spans="1:21" ht="20.399999999999999">
      <c r="A1980" s="6">
        <v>43424.949502314819</v>
      </c>
      <c r="B1980" s="7" t="str">
        <f>HYPERLINK("https://twitter.com/AlfonsoRojoPD","@AlfonsoRojoPD")</f>
        <v>@AlfonsoRojoPD</v>
      </c>
      <c r="C1980" s="8" t="s">
        <v>2411</v>
      </c>
      <c r="D1980" s="9" t="s">
        <v>7658</v>
      </c>
      <c r="E1980" s="10" t="str">
        <f>HYPERLINK("https://twitter.com/AlfonsoRojoPD/status/1065134538693767168","1065134538693767168")</f>
        <v>1065134538693767168</v>
      </c>
      <c r="F1980" s="14" t="s">
        <v>7059</v>
      </c>
      <c r="G1980" s="11"/>
      <c r="H1980" s="11"/>
      <c r="I1980" s="12">
        <v>1</v>
      </c>
      <c r="J1980" s="12">
        <v>1</v>
      </c>
      <c r="K1980" s="13" t="str">
        <f t="shared" si="418"/>
        <v>Twitter Web Client</v>
      </c>
      <c r="L1980" s="12">
        <v>48931</v>
      </c>
      <c r="M1980" s="12">
        <v>0</v>
      </c>
      <c r="N1980" s="12">
        <v>670</v>
      </c>
      <c r="O1980" s="18" t="s">
        <v>52</v>
      </c>
      <c r="P1980" s="6">
        <v>41704.072048611109</v>
      </c>
      <c r="Q1980" s="16" t="s">
        <v>38</v>
      </c>
      <c r="R1980" s="17" t="s">
        <v>2419</v>
      </c>
      <c r="S1980" s="14" t="s">
        <v>2024</v>
      </c>
      <c r="T1980" s="11"/>
      <c r="U1980" s="10" t="str">
        <f>HYPERLINK("https://pbs.twimg.com/profile_images/441511791210663936/QbI_6aXh.jpeg","View")</f>
        <v>View</v>
      </c>
    </row>
    <row r="1981" spans="1:21" ht="20.399999999999999">
      <c r="A1981" s="6">
        <v>43424.948506944449</v>
      </c>
      <c r="B1981" s="7" t="str">
        <f>HYPERLINK("https://twitter.com/enriquedelarica","@enriquedelarica")</f>
        <v>@enriquedelarica</v>
      </c>
      <c r="C1981" s="8" t="s">
        <v>7659</v>
      </c>
      <c r="D1981" s="9" t="s">
        <v>7660</v>
      </c>
      <c r="E1981" s="10" t="str">
        <f>HYPERLINK("https://twitter.com/enriquedelarica/status/1065134176393928706","1065134176393928706")</f>
        <v>1065134176393928706</v>
      </c>
      <c r="F1981" s="11"/>
      <c r="G1981" s="11"/>
      <c r="H1981" s="11"/>
      <c r="I1981" s="12">
        <v>0</v>
      </c>
      <c r="J1981" s="12">
        <v>0</v>
      </c>
      <c r="K1981" s="13" t="str">
        <f>HYPERLINK("http://twitter.com/download/iphone","Twitter for iPhone")</f>
        <v>Twitter for iPhone</v>
      </c>
      <c r="L1981" s="12">
        <v>1440</v>
      </c>
      <c r="M1981" s="12">
        <v>239</v>
      </c>
      <c r="N1981" s="12">
        <v>42</v>
      </c>
      <c r="O1981" s="15"/>
      <c r="P1981" s="6">
        <v>40311.124293981484</v>
      </c>
      <c r="Q1981" s="16" t="s">
        <v>2686</v>
      </c>
      <c r="R1981" s="17" t="s">
        <v>7661</v>
      </c>
      <c r="S1981" s="14" t="s">
        <v>7662</v>
      </c>
      <c r="T1981" s="11"/>
      <c r="U1981" s="10" t="str">
        <f>HYPERLINK("https://pbs.twimg.com/profile_images/468439352729550848/r8WglTLJ.png","View")</f>
        <v>View</v>
      </c>
    </row>
    <row r="1982" spans="1:21" ht="20.399999999999999">
      <c r="A1982" s="6">
        <v>43424.946018518516</v>
      </c>
      <c r="B1982" s="7" t="str">
        <f>HYPERLINK("https://twitter.com/CONCHA_ZARAGOZA","@CONCHA_ZARAGOZA")</f>
        <v>@CONCHA_ZARAGOZA</v>
      </c>
      <c r="C1982" s="8" t="s">
        <v>7663</v>
      </c>
      <c r="D1982" s="9" t="s">
        <v>7189</v>
      </c>
      <c r="E1982" s="10" t="str">
        <f>HYPERLINK("https://twitter.com/CONCHA_ZARAGOZA/status/1065133275809751040","1065133275809751040")</f>
        <v>1065133275809751040</v>
      </c>
      <c r="F1982" s="14" t="s">
        <v>4200</v>
      </c>
      <c r="G1982" s="11"/>
      <c r="H1982" s="11"/>
      <c r="I1982" s="12">
        <v>0</v>
      </c>
      <c r="J1982" s="12">
        <v>0</v>
      </c>
      <c r="K1982" s="13" t="str">
        <f>HYPERLINK("http://twitter.com/download/android","Twitter for Android")</f>
        <v>Twitter for Android</v>
      </c>
      <c r="L1982" s="12">
        <v>2996</v>
      </c>
      <c r="M1982" s="12">
        <v>3363</v>
      </c>
      <c r="N1982" s="12">
        <v>79</v>
      </c>
      <c r="O1982" s="15"/>
      <c r="P1982" s="6">
        <v>40772.616435185184</v>
      </c>
      <c r="Q1982" s="16" t="s">
        <v>7664</v>
      </c>
      <c r="R1982" s="17" t="s">
        <v>7665</v>
      </c>
      <c r="S1982" s="11"/>
      <c r="T1982" s="11"/>
      <c r="U1982" s="10" t="str">
        <f>HYPERLINK("https://pbs.twimg.com/profile_images/881951172659204097/qzahdlGI.jpg","View")</f>
        <v>View</v>
      </c>
    </row>
    <row r="1983" spans="1:21" ht="30.6">
      <c r="A1983" s="6">
        <v>43424.941631944443</v>
      </c>
      <c r="B1983" s="7" t="str">
        <f>HYPERLINK("https://twitter.com/AsocForoLC","@AsocForoLC")</f>
        <v>@AsocForoLC</v>
      </c>
      <c r="C1983" s="8" t="s">
        <v>1035</v>
      </c>
      <c r="D1983" s="9" t="s">
        <v>7666</v>
      </c>
      <c r="E1983" s="10" t="str">
        <f>HYPERLINK("https://twitter.com/AsocForoLC/status/1065131684880896000","1065131684880896000")</f>
        <v>1065131684880896000</v>
      </c>
      <c r="F1983" s="14" t="s">
        <v>7667</v>
      </c>
      <c r="G1983" s="11"/>
      <c r="H1983" s="11"/>
      <c r="I1983" s="12">
        <v>0</v>
      </c>
      <c r="J1983" s="12">
        <v>0</v>
      </c>
      <c r="K1983" s="13" t="str">
        <f>HYPERLINK("http://www.facebook.com/twitter","Facebook")</f>
        <v>Facebook</v>
      </c>
      <c r="L1983" s="12">
        <v>298</v>
      </c>
      <c r="M1983" s="12">
        <v>540</v>
      </c>
      <c r="N1983" s="12">
        <v>4</v>
      </c>
      <c r="O1983" s="15"/>
      <c r="P1983" s="6">
        <v>42191.196030092593</v>
      </c>
      <c r="Q1983" s="16" t="s">
        <v>28</v>
      </c>
      <c r="R1983" s="17" t="s">
        <v>1040</v>
      </c>
      <c r="S1983" s="14" t="s">
        <v>1041</v>
      </c>
      <c r="T1983" s="11"/>
      <c r="U1983" s="10" t="str">
        <f>HYPERLINK("https://pbs.twimg.com/profile_images/923139336572428289/WNCTobzG.jpg","View")</f>
        <v>View</v>
      </c>
    </row>
    <row r="1984" spans="1:21" ht="30.6">
      <c r="A1984" s="6">
        <v>43424.936979166669</v>
      </c>
      <c r="B1984" s="7" t="str">
        <f>HYPERLINK("https://twitter.com/sepaesbi","@sepaesbi")</f>
        <v>@sepaesbi</v>
      </c>
      <c r="C1984" s="8" t="s">
        <v>163</v>
      </c>
      <c r="D1984" s="9" t="s">
        <v>7058</v>
      </c>
      <c r="E1984" s="10" t="str">
        <f>HYPERLINK("https://twitter.com/sepaesbi/status/1065129998523215872","1065129998523215872")</f>
        <v>1065129998523215872</v>
      </c>
      <c r="F1984" s="14" t="s">
        <v>7059</v>
      </c>
      <c r="G1984" s="11"/>
      <c r="H1984" s="11"/>
      <c r="I1984" s="12">
        <v>1</v>
      </c>
      <c r="J1984" s="12">
        <v>0</v>
      </c>
      <c r="K1984" s="13" t="str">
        <f>HYPERLINK("http://twitter.com","Twitter Web Client")</f>
        <v>Twitter Web Client</v>
      </c>
      <c r="L1984" s="12">
        <v>57</v>
      </c>
      <c r="M1984" s="12">
        <v>248</v>
      </c>
      <c r="N1984" s="12">
        <v>1</v>
      </c>
      <c r="O1984" s="15"/>
      <c r="P1984" s="6">
        <v>41724.388206018521</v>
      </c>
      <c r="Q1984" s="11"/>
      <c r="R1984" s="19"/>
      <c r="S1984" s="11"/>
      <c r="T1984" s="11"/>
      <c r="U1984" s="18" t="s">
        <v>168</v>
      </c>
    </row>
    <row r="1985" spans="1:21" ht="30.6">
      <c r="A1985" s="6">
        <v>43424.930821759262</v>
      </c>
      <c r="B1985" s="7" t="str">
        <f>HYPERLINK("https://twitter.com/carlosdd59","@carlosdd59")</f>
        <v>@carlosdd59</v>
      </c>
      <c r="C1985" s="8" t="s">
        <v>7668</v>
      </c>
      <c r="D1985" s="9" t="s">
        <v>7189</v>
      </c>
      <c r="E1985" s="10" t="str">
        <f>HYPERLINK("https://twitter.com/carlosdd59/status/1065127767338037248","1065127767338037248")</f>
        <v>1065127767338037248</v>
      </c>
      <c r="F1985" s="14" t="s">
        <v>4200</v>
      </c>
      <c r="G1985" s="11"/>
      <c r="H1985" s="11"/>
      <c r="I1985" s="12">
        <v>0</v>
      </c>
      <c r="J1985" s="12">
        <v>0</v>
      </c>
      <c r="K1985" s="13" t="str">
        <f t="shared" ref="K1985:K1987" si="419">HYPERLINK("http://twitter.com/download/android","Twitter for Android")</f>
        <v>Twitter for Android</v>
      </c>
      <c r="L1985" s="12">
        <v>9031</v>
      </c>
      <c r="M1985" s="12">
        <v>8183</v>
      </c>
      <c r="N1985" s="12">
        <v>125</v>
      </c>
      <c r="O1985" s="15"/>
      <c r="P1985" s="6">
        <v>41231.205868055556</v>
      </c>
      <c r="Q1985" s="11"/>
      <c r="R1985" s="17" t="s">
        <v>7669</v>
      </c>
      <c r="S1985" s="14" t="s">
        <v>7670</v>
      </c>
      <c r="T1985" s="11"/>
      <c r="U1985" s="10" t="str">
        <f>HYPERLINK("https://pbs.twimg.com/profile_images/739853949902172160/GVF4tMH4.jpg","View")</f>
        <v>View</v>
      </c>
    </row>
    <row r="1986" spans="1:21" ht="51">
      <c r="A1986" s="6">
        <v>43424.927430555559</v>
      </c>
      <c r="B1986" s="7" t="str">
        <f>HYPERLINK("https://twitter.com/PCA_Guillena","@PCA_Guillena")</f>
        <v>@PCA_Guillena</v>
      </c>
      <c r="C1986" s="8" t="s">
        <v>7671</v>
      </c>
      <c r="D1986" s="9" t="s">
        <v>7672</v>
      </c>
      <c r="E1986" s="10" t="str">
        <f>HYPERLINK("https://twitter.com/PCA_Guillena/status/1065126540353200128","1065126540353200128")</f>
        <v>1065126540353200128</v>
      </c>
      <c r="F1986" s="11"/>
      <c r="G1986" s="14" t="s">
        <v>7673</v>
      </c>
      <c r="H1986" s="11"/>
      <c r="I1986" s="12">
        <v>21</v>
      </c>
      <c r="J1986" s="12">
        <v>41</v>
      </c>
      <c r="K1986" s="13" t="str">
        <f t="shared" si="419"/>
        <v>Twitter for Android</v>
      </c>
      <c r="L1986" s="12">
        <v>342</v>
      </c>
      <c r="M1986" s="12">
        <v>566</v>
      </c>
      <c r="N1986" s="12">
        <v>1</v>
      </c>
      <c r="O1986" s="15"/>
      <c r="P1986" s="6">
        <v>43216.060474537036</v>
      </c>
      <c r="Q1986" s="16" t="s">
        <v>7674</v>
      </c>
      <c r="R1986" s="17" t="s">
        <v>7675</v>
      </c>
      <c r="S1986" s="11"/>
      <c r="T1986" s="11"/>
      <c r="U1986" s="10" t="str">
        <f>HYPERLINK("https://pbs.twimg.com/profile_images/989422739239899136/GSuiu5KS.jpg","View")</f>
        <v>View</v>
      </c>
    </row>
    <row r="1987" spans="1:21" ht="51">
      <c r="A1987" s="6">
        <v>43424.927106481482</v>
      </c>
      <c r="B1987" s="7" t="str">
        <f>HYPERLINK("https://twitter.com/iuguillena","@iuguillena")</f>
        <v>@iuguillena</v>
      </c>
      <c r="C1987" s="8" t="s">
        <v>7676</v>
      </c>
      <c r="D1987" s="9" t="s">
        <v>7672</v>
      </c>
      <c r="E1987" s="10" t="str">
        <f>HYPERLINK("https://twitter.com/iuguillena/status/1065126420358332416","1065126420358332416")</f>
        <v>1065126420358332416</v>
      </c>
      <c r="F1987" s="11"/>
      <c r="G1987" s="14" t="s">
        <v>7677</v>
      </c>
      <c r="H1987" s="11"/>
      <c r="I1987" s="12">
        <v>1</v>
      </c>
      <c r="J1987" s="12">
        <v>2</v>
      </c>
      <c r="K1987" s="13" t="str">
        <f t="shared" si="419"/>
        <v>Twitter for Android</v>
      </c>
      <c r="L1987" s="12">
        <v>604</v>
      </c>
      <c r="M1987" s="12">
        <v>450</v>
      </c>
      <c r="N1987" s="12">
        <v>11</v>
      </c>
      <c r="O1987" s="15"/>
      <c r="P1987" s="6">
        <v>40786.652627314819</v>
      </c>
      <c r="Q1987" s="16" t="s">
        <v>7678</v>
      </c>
      <c r="R1987" s="17" t="s">
        <v>7679</v>
      </c>
      <c r="S1987" s="14" t="s">
        <v>7680</v>
      </c>
      <c r="T1987" s="11"/>
      <c r="U1987" s="10" t="str">
        <f>HYPERLINK("https://pbs.twimg.com/profile_images/989803896393666560/aapTfCYq.jpg","View")</f>
        <v>View</v>
      </c>
    </row>
    <row r="1988" spans="1:21" ht="30.6">
      <c r="A1988" s="6">
        <v>43424.926944444444</v>
      </c>
      <c r="B1988" s="7" t="str">
        <f>HYPERLINK("https://twitter.com/ricard0miranda","@ricard0miranda")</f>
        <v>@ricard0miranda</v>
      </c>
      <c r="C1988" s="8" t="s">
        <v>7681</v>
      </c>
      <c r="D1988" s="9" t="s">
        <v>7682</v>
      </c>
      <c r="E1988" s="10" t="str">
        <f>HYPERLINK("https://twitter.com/ricard0miranda/status/1065126363080912896","1065126363080912896")</f>
        <v>1065126363080912896</v>
      </c>
      <c r="F1988" s="14" t="s">
        <v>4200</v>
      </c>
      <c r="G1988" s="11"/>
      <c r="H1988" s="11"/>
      <c r="I1988" s="12">
        <v>0</v>
      </c>
      <c r="J1988" s="12">
        <v>0</v>
      </c>
      <c r="K1988" s="13" t="str">
        <f>HYPERLINK("http://twitter.com","Twitter Web Client")</f>
        <v>Twitter Web Client</v>
      </c>
      <c r="L1988" s="12">
        <v>253</v>
      </c>
      <c r="M1988" s="12">
        <v>296</v>
      </c>
      <c r="N1988" s="12">
        <v>2</v>
      </c>
      <c r="O1988" s="15"/>
      <c r="P1988" s="6">
        <v>40423.160497685181</v>
      </c>
      <c r="Q1988" s="16" t="s">
        <v>493</v>
      </c>
      <c r="R1988" s="17" t="s">
        <v>7683</v>
      </c>
      <c r="S1988" s="11"/>
      <c r="T1988" s="11"/>
      <c r="U1988" s="10" t="str">
        <f>HYPERLINK("https://pbs.twimg.com/profile_images/985119495252475906/0gRndtys.jpg","View")</f>
        <v>View</v>
      </c>
    </row>
    <row r="1989" spans="1:21" ht="61.2">
      <c r="A1989" s="6">
        <v>43424.92569444445</v>
      </c>
      <c r="B1989" s="7" t="str">
        <f>HYPERLINK("https://twitter.com/Radio_Sporting","@Radio_Sporting")</f>
        <v>@Radio_Sporting</v>
      </c>
      <c r="C1989" s="8" t="s">
        <v>884</v>
      </c>
      <c r="D1989" s="9" t="s">
        <v>3568</v>
      </c>
      <c r="E1989" s="10" t="str">
        <f>HYPERLINK("https://twitter.com/Radio_Sporting/status/1065125908254666752","1065125908254666752")</f>
        <v>1065125908254666752</v>
      </c>
      <c r="F1989" s="11"/>
      <c r="G1989" s="14" t="s">
        <v>7684</v>
      </c>
      <c r="H1989" s="11"/>
      <c r="I1989" s="12">
        <v>1</v>
      </c>
      <c r="J1989" s="12">
        <v>1</v>
      </c>
      <c r="K1989" s="13" t="str">
        <f>HYPERLINK("https://about.twitter.com/products/tweetdeck","TweetDeck")</f>
        <v>TweetDeck</v>
      </c>
      <c r="L1989" s="12">
        <v>2244</v>
      </c>
      <c r="M1989" s="12">
        <v>1450</v>
      </c>
      <c r="N1989" s="12">
        <v>35</v>
      </c>
      <c r="O1989" s="15"/>
      <c r="P1989" s="6">
        <v>41810.058981481481</v>
      </c>
      <c r="Q1989" s="16" t="s">
        <v>891</v>
      </c>
      <c r="R1989" s="17" t="s">
        <v>892</v>
      </c>
      <c r="S1989" s="14" t="s">
        <v>893</v>
      </c>
      <c r="T1989" s="11"/>
      <c r="U1989" s="10" t="str">
        <f>HYPERLINK("https://pbs.twimg.com/profile_images/1046720125746008067/7_1_XRaL.jpg","View")</f>
        <v>View</v>
      </c>
    </row>
    <row r="1990" spans="1:21" ht="13.2">
      <c r="A1990" s="6">
        <v>43424.925393518519</v>
      </c>
      <c r="B1990" s="7" t="str">
        <f>HYPERLINK("https://twitter.com/IGNACIOPCP","@IGNACIOPCP")</f>
        <v>@IGNACIOPCP</v>
      </c>
      <c r="C1990" s="8" t="s">
        <v>7685</v>
      </c>
      <c r="D1990" s="9" t="s">
        <v>6996</v>
      </c>
      <c r="E1990" s="10" t="str">
        <f>HYPERLINK("https://twitter.com/IGNACIOPCP/status/1065125799567740929","1065125799567740929")</f>
        <v>1065125799567740929</v>
      </c>
      <c r="F1990" s="14" t="s">
        <v>7408</v>
      </c>
      <c r="G1990" s="11"/>
      <c r="H1990" s="11"/>
      <c r="I1990" s="12">
        <v>0</v>
      </c>
      <c r="J1990" s="12">
        <v>0</v>
      </c>
      <c r="K1990" s="13" t="str">
        <f>HYPERLINK("http://twitter.com/download/android","Twitter for Android")</f>
        <v>Twitter for Android</v>
      </c>
      <c r="L1990" s="12">
        <v>19</v>
      </c>
      <c r="M1990" s="12">
        <v>65</v>
      </c>
      <c r="N1990" s="12">
        <v>0</v>
      </c>
      <c r="O1990" s="15"/>
      <c r="P1990" s="6">
        <v>40651.062002314815</v>
      </c>
      <c r="Q1990" s="16" t="s">
        <v>7686</v>
      </c>
      <c r="R1990" s="19"/>
      <c r="S1990" s="11"/>
      <c r="T1990" s="11"/>
      <c r="U1990" s="10" t="str">
        <f>HYPERLINK("https://pbs.twimg.com/profile_images/883722534486671360/tUNQAuRX.jpg","View")</f>
        <v>View</v>
      </c>
    </row>
    <row r="1991" spans="1:21" ht="20.399999999999999">
      <c r="A1991" s="6">
        <v>43424.923206018517</v>
      </c>
      <c r="B1991" s="7" t="str">
        <f>HYPERLINK("https://twitter.com/mathusal9","@mathusal9")</f>
        <v>@mathusal9</v>
      </c>
      <c r="C1991" s="8" t="s">
        <v>7687</v>
      </c>
      <c r="D1991" s="9" t="s">
        <v>7189</v>
      </c>
      <c r="E1991" s="10" t="str">
        <f>HYPERLINK("https://twitter.com/mathusal9/status/1065125006571651073","1065125006571651073")</f>
        <v>1065125006571651073</v>
      </c>
      <c r="F1991" s="14" t="s">
        <v>4200</v>
      </c>
      <c r="G1991" s="11"/>
      <c r="H1991" s="11"/>
      <c r="I1991" s="12">
        <v>0</v>
      </c>
      <c r="J1991" s="12">
        <v>0</v>
      </c>
      <c r="K1991" s="13" t="str">
        <f>HYPERLINK("http://twitter.com","Twitter Web Client")</f>
        <v>Twitter Web Client</v>
      </c>
      <c r="L1991" s="12">
        <v>692</v>
      </c>
      <c r="M1991" s="12">
        <v>1747</v>
      </c>
      <c r="N1991" s="12">
        <v>3</v>
      </c>
      <c r="O1991" s="15"/>
      <c r="P1991" s="6">
        <v>43049.423819444448</v>
      </c>
      <c r="Q1991" s="16" t="s">
        <v>2352</v>
      </c>
      <c r="R1991" s="17" t="s">
        <v>7688</v>
      </c>
      <c r="S1991" s="11"/>
      <c r="T1991" s="11"/>
      <c r="U1991" s="10" t="str">
        <f>HYPERLINK("https://pbs.twimg.com/profile_images/936494587761385472/4QRLIAtv.jpg","View")</f>
        <v>View</v>
      </c>
    </row>
    <row r="1992" spans="1:21" ht="40.799999999999997">
      <c r="A1992" s="6">
        <v>43424.922164351854</v>
      </c>
      <c r="B1992" s="7" t="str">
        <f>HYPERLINK("https://twitter.com/WhiteVikingo","@WhiteVikingo")</f>
        <v>@WhiteVikingo</v>
      </c>
      <c r="C1992" s="8" t="s">
        <v>7689</v>
      </c>
      <c r="D1992" s="9" t="s">
        <v>7690</v>
      </c>
      <c r="E1992" s="10" t="str">
        <f>HYPERLINK("https://twitter.com/WhiteVikingo/status/1065124630485192704","1065124630485192704")</f>
        <v>1065124630485192704</v>
      </c>
      <c r="F1992" s="14" t="s">
        <v>4200</v>
      </c>
      <c r="G1992" s="11"/>
      <c r="H1992" s="11"/>
      <c r="I1992" s="12">
        <v>0</v>
      </c>
      <c r="J1992" s="12">
        <v>0</v>
      </c>
      <c r="K1992" s="13" t="str">
        <f>HYPERLINK("https://mobile.twitter.com","Twitter Lite")</f>
        <v>Twitter Lite</v>
      </c>
      <c r="L1992" s="12">
        <v>501</v>
      </c>
      <c r="M1992" s="12">
        <v>2453</v>
      </c>
      <c r="N1992" s="12">
        <v>17</v>
      </c>
      <c r="O1992" s="15"/>
      <c r="P1992" s="6">
        <v>41858.726655092592</v>
      </c>
      <c r="Q1992" s="16" t="s">
        <v>28</v>
      </c>
      <c r="R1992" s="17" t="s">
        <v>7691</v>
      </c>
      <c r="S1992" s="11"/>
      <c r="T1992" s="11"/>
      <c r="U1992" s="10" t="str">
        <f>HYPERLINK("https://pbs.twimg.com/profile_images/497540815896338432/5CFsh7V3.jpeg","View")</f>
        <v>View</v>
      </c>
    </row>
    <row r="1993" spans="1:21" ht="40.799999999999997">
      <c r="A1993" s="6">
        <v>43424.921006944445</v>
      </c>
      <c r="B1993" s="7" t="str">
        <f>HYPERLINK("https://twitter.com/jdalvarezt","@jdalvarezt")</f>
        <v>@jdalvarezt</v>
      </c>
      <c r="C1993" s="8" t="s">
        <v>7692</v>
      </c>
      <c r="D1993" s="9" t="s">
        <v>3000</v>
      </c>
      <c r="E1993" s="10" t="str">
        <f>HYPERLINK("https://twitter.com/jdalvarezt/status/1065124210282946562","1065124210282946562")</f>
        <v>1065124210282946562</v>
      </c>
      <c r="F1993" s="14" t="s">
        <v>7693</v>
      </c>
      <c r="G1993" s="11"/>
      <c r="H1993" s="11"/>
      <c r="I1993" s="12">
        <v>0</v>
      </c>
      <c r="J1993" s="12">
        <v>0</v>
      </c>
      <c r="K1993" s="13" t="str">
        <f>HYPERLINK("http://twitter.com/download/android","Twitter for Android")</f>
        <v>Twitter for Android</v>
      </c>
      <c r="L1993" s="12">
        <v>1131</v>
      </c>
      <c r="M1993" s="12">
        <v>967</v>
      </c>
      <c r="N1993" s="12">
        <v>11</v>
      </c>
      <c r="O1993" s="15"/>
      <c r="P1993" s="6">
        <v>40287.057673611111</v>
      </c>
      <c r="Q1993" s="16" t="s">
        <v>5469</v>
      </c>
      <c r="R1993" s="17" t="s">
        <v>7694</v>
      </c>
      <c r="S1993" s="11"/>
      <c r="T1993" s="11"/>
      <c r="U1993" s="10" t="str">
        <f>HYPERLINK("https://pbs.twimg.com/profile_images/1031874282299764736/ruUGRX31.jpg","View")</f>
        <v>View</v>
      </c>
    </row>
    <row r="1994" spans="1:21" ht="30.6">
      <c r="A1994" s="6">
        <v>43424.91915509259</v>
      </c>
      <c r="B1994" s="7" t="str">
        <f>HYPERLINK("https://twitter.com/diarioderivas","@diarioderivas")</f>
        <v>@diarioderivas</v>
      </c>
      <c r="C1994" s="8" t="s">
        <v>7695</v>
      </c>
      <c r="D1994" s="9" t="s">
        <v>7696</v>
      </c>
      <c r="E1994" s="10" t="str">
        <f>HYPERLINK("https://twitter.com/diarioderivas/status/1065123540456955904","1065123540456955904")</f>
        <v>1065123540456955904</v>
      </c>
      <c r="F1994" s="14" t="s">
        <v>7697</v>
      </c>
      <c r="G1994" s="11"/>
      <c r="H1994" s="11"/>
      <c r="I1994" s="12">
        <v>1</v>
      </c>
      <c r="J1994" s="12">
        <v>0</v>
      </c>
      <c r="K1994" s="13" t="str">
        <f>HYPERLINK("http://twitter.com","Twitter Web Client")</f>
        <v>Twitter Web Client</v>
      </c>
      <c r="L1994" s="12">
        <v>943</v>
      </c>
      <c r="M1994" s="12">
        <v>712</v>
      </c>
      <c r="N1994" s="12">
        <v>11</v>
      </c>
      <c r="O1994" s="15"/>
      <c r="P1994" s="6">
        <v>42290.954259259262</v>
      </c>
      <c r="Q1994" s="11"/>
      <c r="R1994" s="19"/>
      <c r="S1994" s="11"/>
      <c r="T1994" s="11"/>
      <c r="U1994" s="10" t="str">
        <f>HYPERLINK("https://pbs.twimg.com/profile_images/790604974438944768/EqheVzX5.jpg","View")</f>
        <v>View</v>
      </c>
    </row>
    <row r="1995" spans="1:21" ht="40.799999999999997">
      <c r="A1995" s="6">
        <v>43424.914895833332</v>
      </c>
      <c r="B1995" s="7" t="str">
        <f>HYPERLINK("https://twitter.com/jdalvarezt","@jdalvarezt")</f>
        <v>@jdalvarezt</v>
      </c>
      <c r="C1995" s="8" t="s">
        <v>7692</v>
      </c>
      <c r="D1995" s="9" t="s">
        <v>6963</v>
      </c>
      <c r="E1995" s="10" t="str">
        <f>HYPERLINK("https://twitter.com/jdalvarezt/status/1065121996416184320","1065121996416184320")</f>
        <v>1065121996416184320</v>
      </c>
      <c r="F1995" s="14" t="s">
        <v>246</v>
      </c>
      <c r="G1995" s="11"/>
      <c r="H1995" s="11"/>
      <c r="I1995" s="12">
        <v>0</v>
      </c>
      <c r="J1995" s="12">
        <v>0</v>
      </c>
      <c r="K1995" s="13" t="str">
        <f>HYPERLINK("http://twitter.com/download/android","Twitter for Android")</f>
        <v>Twitter for Android</v>
      </c>
      <c r="L1995" s="12">
        <v>1131</v>
      </c>
      <c r="M1995" s="12">
        <v>967</v>
      </c>
      <c r="N1995" s="12">
        <v>11</v>
      </c>
      <c r="O1995" s="15"/>
      <c r="P1995" s="6">
        <v>40287.057673611111</v>
      </c>
      <c r="Q1995" s="16" t="s">
        <v>5469</v>
      </c>
      <c r="R1995" s="17" t="s">
        <v>7694</v>
      </c>
      <c r="S1995" s="11"/>
      <c r="T1995" s="11"/>
      <c r="U1995" s="10" t="str">
        <f>HYPERLINK("https://pbs.twimg.com/profile_images/1031874282299764736/ruUGRX31.jpg","View")</f>
        <v>View</v>
      </c>
    </row>
    <row r="1996" spans="1:21" ht="13.2">
      <c r="A1996" s="6">
        <v>43424.910428240742</v>
      </c>
      <c r="B1996" s="7" t="str">
        <f>HYPERLINK("https://twitter.com/frankanarco","@frankanarco")</f>
        <v>@frankanarco</v>
      </c>
      <c r="C1996" s="8" t="s">
        <v>7698</v>
      </c>
      <c r="D1996" s="9" t="s">
        <v>7699</v>
      </c>
      <c r="E1996" s="10" t="str">
        <f>HYPERLINK("https://twitter.com/frankanarco/status/1065120375825203205","1065120375825203205")</f>
        <v>1065120375825203205</v>
      </c>
      <c r="F1996" s="11"/>
      <c r="G1996" s="14" t="s">
        <v>7700</v>
      </c>
      <c r="H1996" s="11"/>
      <c r="I1996" s="12">
        <v>1</v>
      </c>
      <c r="J1996" s="12">
        <v>2</v>
      </c>
      <c r="K1996" s="13" t="str">
        <f>HYPERLINK("http://twitter.com","Twitter Web Client")</f>
        <v>Twitter Web Client</v>
      </c>
      <c r="L1996" s="12">
        <v>457</v>
      </c>
      <c r="M1996" s="12">
        <v>3264</v>
      </c>
      <c r="N1996" s="12">
        <v>4</v>
      </c>
      <c r="O1996" s="15"/>
      <c r="P1996" s="6">
        <v>42045.366412037038</v>
      </c>
      <c r="Q1996" s="16" t="s">
        <v>7701</v>
      </c>
      <c r="R1996" s="19"/>
      <c r="S1996" s="11"/>
      <c r="T1996" s="11"/>
      <c r="U1996" s="10" t="str">
        <f>HYPERLINK("https://pbs.twimg.com/profile_images/898564158207258628/jeUuCeRq.jpg","View")</f>
        <v>View</v>
      </c>
    </row>
    <row r="1997" spans="1:21" ht="112.2">
      <c r="A1997" s="6">
        <v>43424.904699074075</v>
      </c>
      <c r="B1997" s="7" t="str">
        <f>HYPERLINK("https://twitter.com/sepaesbi","@sepaesbi")</f>
        <v>@sepaesbi</v>
      </c>
      <c r="C1997" s="8" t="s">
        <v>163</v>
      </c>
      <c r="D1997" s="9" t="s">
        <v>4636</v>
      </c>
      <c r="E1997" s="10" t="str">
        <f>HYPERLINK("https://twitter.com/sepaesbi/status/1065118301838340096","1065118301838340096")</f>
        <v>1065118301838340096</v>
      </c>
      <c r="F1997" s="14" t="s">
        <v>4637</v>
      </c>
      <c r="G1997" s="14" t="s">
        <v>4638</v>
      </c>
      <c r="H1997" s="11"/>
      <c r="I1997" s="12">
        <v>1</v>
      </c>
      <c r="J1997" s="12">
        <v>0</v>
      </c>
      <c r="K1997" s="13" t="str">
        <f>HYPERLINK("https://mobile.twitter.com","Twitter Lite")</f>
        <v>Twitter Lite</v>
      </c>
      <c r="L1997" s="12">
        <v>57</v>
      </c>
      <c r="M1997" s="12">
        <v>248</v>
      </c>
      <c r="N1997" s="12">
        <v>1</v>
      </c>
      <c r="O1997" s="15"/>
      <c r="P1997" s="6">
        <v>41724.388206018521</v>
      </c>
      <c r="Q1997" s="11"/>
      <c r="R1997" s="19"/>
      <c r="S1997" s="11"/>
      <c r="T1997" s="11"/>
      <c r="U1997" s="18" t="s">
        <v>168</v>
      </c>
    </row>
    <row r="1998" spans="1:21" ht="20.399999999999999">
      <c r="A1998" s="6">
        <v>43424.904560185183</v>
      </c>
      <c r="B1998" s="7" t="str">
        <f>HYPERLINK("https://twitter.com/sargentostryker","@sargentostryker")</f>
        <v>@sargentostryker</v>
      </c>
      <c r="C1998" s="8" t="s">
        <v>7702</v>
      </c>
      <c r="D1998" s="9" t="s">
        <v>7189</v>
      </c>
      <c r="E1998" s="10" t="str">
        <f>HYPERLINK("https://twitter.com/sargentostryker/status/1065118249707364352","1065118249707364352")</f>
        <v>1065118249707364352</v>
      </c>
      <c r="F1998" s="14" t="s">
        <v>4200</v>
      </c>
      <c r="G1998" s="11"/>
      <c r="H1998" s="11"/>
      <c r="I1998" s="12">
        <v>0</v>
      </c>
      <c r="J1998" s="12">
        <v>0</v>
      </c>
      <c r="K1998" s="13" t="str">
        <f>HYPERLINK("http://twitter.com","Twitter Web Client")</f>
        <v>Twitter Web Client</v>
      </c>
      <c r="L1998" s="12">
        <v>88</v>
      </c>
      <c r="M1998" s="12">
        <v>124</v>
      </c>
      <c r="N1998" s="12">
        <v>17</v>
      </c>
      <c r="O1998" s="15"/>
      <c r="P1998" s="6">
        <v>42185.379756944443</v>
      </c>
      <c r="Q1998" s="16" t="s">
        <v>144</v>
      </c>
      <c r="R1998" s="19"/>
      <c r="S1998" s="11"/>
      <c r="T1998" s="11"/>
      <c r="U1998" s="10" t="str">
        <f>HYPERLINK("https://pbs.twimg.com/profile_images/817018012649877507/fOV-LVmh.jpg","View")</f>
        <v>View</v>
      </c>
    </row>
    <row r="1999" spans="1:21" ht="30.6">
      <c r="A1999" s="6">
        <v>43424.898622685185</v>
      </c>
      <c r="B1999" s="7" t="str">
        <f>HYPERLINK("https://twitter.com/pepeconjerez","@pepeconjerez")</f>
        <v>@pepeconjerez</v>
      </c>
      <c r="C1999" s="8" t="s">
        <v>500</v>
      </c>
      <c r="D1999" s="9" t="s">
        <v>7189</v>
      </c>
      <c r="E1999" s="10" t="str">
        <f>HYPERLINK("https://twitter.com/pepeconjerez/status/1065116099946139648","1065116099946139648")</f>
        <v>1065116099946139648</v>
      </c>
      <c r="F1999" s="14" t="s">
        <v>4200</v>
      </c>
      <c r="G1999" s="11"/>
      <c r="H1999" s="11"/>
      <c r="I1999" s="12">
        <v>0</v>
      </c>
      <c r="J1999" s="12">
        <v>1</v>
      </c>
      <c r="K1999" s="13" t="str">
        <f>HYPERLINK("http://twitter.com/download/iphone","Twitter for iPhone")</f>
        <v>Twitter for iPhone</v>
      </c>
      <c r="L1999" s="12">
        <v>4871</v>
      </c>
      <c r="M1999" s="12">
        <v>5333</v>
      </c>
      <c r="N1999" s="12">
        <v>210</v>
      </c>
      <c r="O1999" s="15"/>
      <c r="P1999" s="6">
        <v>40560.135636574072</v>
      </c>
      <c r="Q1999" s="16" t="s">
        <v>502</v>
      </c>
      <c r="R1999" s="17" t="s">
        <v>503</v>
      </c>
      <c r="S1999" s="14" t="s">
        <v>504</v>
      </c>
      <c r="T1999" s="11"/>
      <c r="U1999" s="10" t="str">
        <f>HYPERLINK("https://pbs.twimg.com/profile_images/1032273229883342848/NAouY_j7.jpg","View")</f>
        <v>View</v>
      </c>
    </row>
    <row r="2000" spans="1:21" ht="102">
      <c r="A2000" s="6">
        <v>43424.898298611108</v>
      </c>
      <c r="B2000" s="7" t="str">
        <f>HYPERLINK("https://twitter.com/JesusMartin_95","@JesusMartin_95")</f>
        <v>@JesusMartin_95</v>
      </c>
      <c r="C2000" s="8" t="s">
        <v>4639</v>
      </c>
      <c r="D2000" s="9" t="s">
        <v>4640</v>
      </c>
      <c r="E2000" s="10" t="str">
        <f>HYPERLINK("https://twitter.com/JesusMartin_95/status/1065115980085501953","1065115980085501953")</f>
        <v>1065115980085501953</v>
      </c>
      <c r="F2000" s="16" t="s">
        <v>4641</v>
      </c>
      <c r="G2000" s="11"/>
      <c r="H2000" s="11"/>
      <c r="I2000" s="12">
        <v>1</v>
      </c>
      <c r="J2000" s="12">
        <v>2</v>
      </c>
      <c r="K2000" s="13" t="str">
        <f>HYPERLINK("http://twitter.com/download/android","Twitter for Android")</f>
        <v>Twitter for Android</v>
      </c>
      <c r="L2000" s="12">
        <v>1012</v>
      </c>
      <c r="M2000" s="12">
        <v>1004</v>
      </c>
      <c r="N2000" s="12">
        <v>10</v>
      </c>
      <c r="O2000" s="15"/>
      <c r="P2000" s="6">
        <v>40793.527638888889</v>
      </c>
      <c r="Q2000" s="16" t="s">
        <v>4642</v>
      </c>
      <c r="R2000" s="17" t="s">
        <v>4643</v>
      </c>
      <c r="S2000" s="11"/>
      <c r="T2000" s="11"/>
      <c r="U2000" s="10" t="str">
        <f>HYPERLINK("https://pbs.twimg.com/profile_images/968302251864461312/th4OBsTh.jpg","View")</f>
        <v>View</v>
      </c>
    </row>
    <row r="2001" spans="1:21" ht="20.399999999999999">
      <c r="A2001" s="6">
        <v>43424.89472222222</v>
      </c>
      <c r="B2001" s="7" t="str">
        <f>HYPERLINK("https://twitter.com/JoseanDuran45","@JoseanDuran45")</f>
        <v>@JoseanDuran45</v>
      </c>
      <c r="C2001" s="8" t="s">
        <v>7703</v>
      </c>
      <c r="D2001" s="9" t="s">
        <v>7189</v>
      </c>
      <c r="E2001" s="10" t="str">
        <f>HYPERLINK("https://twitter.com/JoseanDuran45/status/1065114684024659968","1065114684024659968")</f>
        <v>1065114684024659968</v>
      </c>
      <c r="F2001" s="14" t="s">
        <v>4200</v>
      </c>
      <c r="G2001" s="11"/>
      <c r="H2001" s="11"/>
      <c r="I2001" s="12">
        <v>0</v>
      </c>
      <c r="J2001" s="12">
        <v>0</v>
      </c>
      <c r="K2001" s="13" t="str">
        <f>HYPERLINK("http://twitter.com","Twitter Web Client")</f>
        <v>Twitter Web Client</v>
      </c>
      <c r="L2001" s="12">
        <v>157</v>
      </c>
      <c r="M2001" s="12">
        <v>179</v>
      </c>
      <c r="N2001" s="12">
        <v>4</v>
      </c>
      <c r="O2001" s="15"/>
      <c r="P2001" s="6">
        <v>42327.439120370371</v>
      </c>
      <c r="Q2001" s="11"/>
      <c r="R2001" s="19"/>
      <c r="S2001" s="11"/>
      <c r="T2001" s="11"/>
      <c r="U2001" s="10" t="str">
        <f>HYPERLINK("https://pbs.twimg.com/profile_images/667412235568959488/hCT9XWvM.jpg","View")</f>
        <v>View</v>
      </c>
    </row>
    <row r="2002" spans="1:21" ht="81.599999999999994">
      <c r="A2002" s="6">
        <v>43424.894108796296</v>
      </c>
      <c r="B2002" s="7" t="str">
        <f>HYPERLINK("https://twitter.com/olgauq","@olgauq")</f>
        <v>@olgauq</v>
      </c>
      <c r="C2002" s="8" t="s">
        <v>7704</v>
      </c>
      <c r="D2002" s="9" t="s">
        <v>7705</v>
      </c>
      <c r="E2002" s="10" t="str">
        <f>HYPERLINK("https://twitter.com/olgauq/status/1065114464335380480","1065114464335380480")</f>
        <v>1065114464335380480</v>
      </c>
      <c r="F2002" s="14" t="s">
        <v>7706</v>
      </c>
      <c r="G2002" s="11"/>
      <c r="H2002" s="11"/>
      <c r="I2002" s="12">
        <v>0</v>
      </c>
      <c r="J2002" s="12">
        <v>0</v>
      </c>
      <c r="K2002" s="13" t="str">
        <f>HYPERLINK("http://twitter.com/download/iphone","Twitter for iPhone")</f>
        <v>Twitter for iPhone</v>
      </c>
      <c r="L2002" s="12">
        <v>3370</v>
      </c>
      <c r="M2002" s="12">
        <v>5000</v>
      </c>
      <c r="N2002" s="12">
        <v>129</v>
      </c>
      <c r="O2002" s="15"/>
      <c r="P2002" s="6">
        <v>40481.553483796299</v>
      </c>
      <c r="Q2002" s="11"/>
      <c r="R2002" s="17" t="s">
        <v>7707</v>
      </c>
      <c r="S2002" s="11"/>
      <c r="T2002" s="11"/>
      <c r="U2002" s="10" t="str">
        <f>HYPERLINK("https://pbs.twimg.com/profile_images/998597165348831232/g9WHd80V.jpg","View")</f>
        <v>View</v>
      </c>
    </row>
    <row r="2003" spans="1:21" ht="40.799999999999997">
      <c r="A2003" s="6">
        <v>43424.888692129629</v>
      </c>
      <c r="B2003" s="7" t="str">
        <f>HYPERLINK("https://twitter.com/PdeSamos","@PdeSamos")</f>
        <v>@PdeSamos</v>
      </c>
      <c r="C2003" s="8" t="s">
        <v>3877</v>
      </c>
      <c r="D2003" s="9" t="s">
        <v>7708</v>
      </c>
      <c r="E2003" s="10" t="str">
        <f>HYPERLINK("https://twitter.com/PdeSamos/status/1065112499635273728","1065112499635273728")</f>
        <v>1065112499635273728</v>
      </c>
      <c r="F2003" s="14" t="s">
        <v>7709</v>
      </c>
      <c r="G2003" s="11"/>
      <c r="H2003" s="11"/>
      <c r="I2003" s="12">
        <v>0</v>
      </c>
      <c r="J2003" s="12">
        <v>0</v>
      </c>
      <c r="K2003" s="13" t="str">
        <f>HYPERLINK("http://republico.ddns.net","App Libertad PdeSamos")</f>
        <v>App Libertad PdeSamos</v>
      </c>
      <c r="L2003" s="12">
        <v>5283</v>
      </c>
      <c r="M2003" s="12">
        <v>5301</v>
      </c>
      <c r="N2003" s="12">
        <v>12</v>
      </c>
      <c r="O2003" s="15"/>
      <c r="P2003" s="6">
        <v>42889.445567129631</v>
      </c>
      <c r="Q2003" s="16" t="s">
        <v>3881</v>
      </c>
      <c r="R2003" s="17" t="s">
        <v>3882</v>
      </c>
      <c r="S2003" s="11"/>
      <c r="T2003" s="11"/>
      <c r="U2003" s="10" t="str">
        <f>HYPERLINK("https://pbs.twimg.com/profile_images/871063742003511296/xK2IYbrO.jpg","View")</f>
        <v>View</v>
      </c>
    </row>
    <row r="2004" spans="1:21" ht="40.799999999999997">
      <c r="A2004" s="6">
        <v>43424.876388888893</v>
      </c>
      <c r="B2004" s="7" t="str">
        <f>HYPERLINK("https://twitter.com/rafaeljcortes","@rafaeljcortes")</f>
        <v>@rafaeljcortes</v>
      </c>
      <c r="C2004" s="8" t="s">
        <v>3308</v>
      </c>
      <c r="D2004" s="9" t="s">
        <v>4644</v>
      </c>
      <c r="E2004" s="10" t="str">
        <f>HYPERLINK("https://twitter.com/rafaeljcortes/status/1065108040913948673","1065108040913948673")</f>
        <v>1065108040913948673</v>
      </c>
      <c r="F2004" s="11"/>
      <c r="G2004" s="14" t="s">
        <v>4645</v>
      </c>
      <c r="H2004" s="11"/>
      <c r="I2004" s="12">
        <v>0</v>
      </c>
      <c r="J2004" s="12">
        <v>0</v>
      </c>
      <c r="K2004" s="13" t="str">
        <f>HYPERLINK("https://ads-api.twitter.com","Twitter Ads Composer")</f>
        <v>Twitter Ads Composer</v>
      </c>
      <c r="L2004" s="12">
        <v>3165</v>
      </c>
      <c r="M2004" s="12">
        <v>4998</v>
      </c>
      <c r="N2004" s="12">
        <v>38</v>
      </c>
      <c r="O2004" s="15"/>
      <c r="P2004" s="6">
        <v>40487.751539351855</v>
      </c>
      <c r="Q2004" s="16" t="s">
        <v>2352</v>
      </c>
      <c r="R2004" s="17" t="s">
        <v>3313</v>
      </c>
      <c r="S2004" s="11"/>
      <c r="T2004" s="11"/>
      <c r="U2004" s="10" t="str">
        <f>HYPERLINK("https://pbs.twimg.com/profile_images/891193961158758400/7nGVxfEH.jpg","View")</f>
        <v>View</v>
      </c>
    </row>
    <row r="2005" spans="1:21" ht="51">
      <c r="A2005" s="6">
        <v>43424.876388888893</v>
      </c>
      <c r="B2005" s="7" t="str">
        <f>HYPERLINK("https://twitter.com/bitMomentum","@bitMomentum")</f>
        <v>@bitMomentum</v>
      </c>
      <c r="C2005" s="8" t="s">
        <v>1033</v>
      </c>
      <c r="D2005" s="9" t="s">
        <v>4646</v>
      </c>
      <c r="E2005" s="10" t="str">
        <f>HYPERLINK("https://twitter.com/bitMomentum/status/1065108040138059776","1065108040138059776")</f>
        <v>1065108040138059776</v>
      </c>
      <c r="F2005" s="11"/>
      <c r="G2005" s="11"/>
      <c r="H2005" s="11"/>
      <c r="I2005" s="12">
        <v>0</v>
      </c>
      <c r="J2005" s="12">
        <v>0</v>
      </c>
      <c r="K2005" s="13" t="str">
        <f>HYPERLINK("http://www.bitmomentum.com","bitMomentum Bot")</f>
        <v>bitMomentum Bot</v>
      </c>
      <c r="L2005" s="12">
        <v>10132</v>
      </c>
      <c r="M2005" s="12">
        <v>1060</v>
      </c>
      <c r="N2005" s="12">
        <v>267</v>
      </c>
      <c r="O2005" s="15"/>
      <c r="P2005" s="6">
        <v>41608.292511574073</v>
      </c>
      <c r="Q2005" s="11"/>
      <c r="R2005" s="17" t="s">
        <v>1038</v>
      </c>
      <c r="S2005" s="14" t="s">
        <v>1039</v>
      </c>
      <c r="T2005" s="11"/>
      <c r="U2005" s="10" t="str">
        <f>HYPERLINK("https://pbs.twimg.com/profile_images/378800000862185241/20ij2H3u.png","View")</f>
        <v>View</v>
      </c>
    </row>
    <row r="2006" spans="1:21" ht="20.399999999999999">
      <c r="A2006" s="6">
        <v>43424.872395833328</v>
      </c>
      <c r="B2006" s="7" t="str">
        <f>HYPERLINK("https://twitter.com/LUKMANHAKIMINDO","@LUKMANHAKIMINDO")</f>
        <v>@LUKMANHAKIMINDO</v>
      </c>
      <c r="C2006" s="8" t="s">
        <v>7710</v>
      </c>
      <c r="D2006" s="9" t="s">
        <v>7711</v>
      </c>
      <c r="E2006" s="10" t="str">
        <f>HYPERLINK("https://twitter.com/LUKMANHAKIMINDO/status/1065106592947945472","1065106592947945472")</f>
        <v>1065106592947945472</v>
      </c>
      <c r="F2006" s="14" t="s">
        <v>7712</v>
      </c>
      <c r="G2006" s="11"/>
      <c r="H2006" s="11"/>
      <c r="I2006" s="12">
        <v>0</v>
      </c>
      <c r="J2006" s="12">
        <v>0</v>
      </c>
      <c r="K2006" s="13" t="str">
        <f>HYPERLINK("https://www.google.com/","Google")</f>
        <v>Google</v>
      </c>
      <c r="L2006" s="12">
        <v>8</v>
      </c>
      <c r="M2006" s="12">
        <v>4</v>
      </c>
      <c r="N2006" s="12">
        <v>0</v>
      </c>
      <c r="O2006" s="15"/>
      <c r="P2006" s="6">
        <v>40024.316307870373</v>
      </c>
      <c r="Q2006" s="16" t="s">
        <v>7713</v>
      </c>
      <c r="R2006" s="19"/>
      <c r="S2006" s="11"/>
      <c r="T2006" s="11"/>
      <c r="U2006" s="10" t="str">
        <f>HYPERLINK("https://pbs.twimg.com/profile_images/1507454129/FacebookHomescreenImage.jpg","View")</f>
        <v>View</v>
      </c>
    </row>
    <row r="2007" spans="1:21" ht="20.399999999999999">
      <c r="A2007" s="6">
        <v>43424.865543981483</v>
      </c>
      <c r="B2007" s="7" t="str">
        <f>HYPERLINK("https://twitter.com/17101981wedding","@17101981wedding")</f>
        <v>@17101981wedding</v>
      </c>
      <c r="C2007" s="8" t="s">
        <v>7714</v>
      </c>
      <c r="D2007" s="9" t="s">
        <v>7189</v>
      </c>
      <c r="E2007" s="10" t="str">
        <f>HYPERLINK("https://twitter.com/17101981wedding/status/1065104109752262657","1065104109752262657")</f>
        <v>1065104109752262657</v>
      </c>
      <c r="F2007" s="14" t="s">
        <v>4200</v>
      </c>
      <c r="G2007" s="11"/>
      <c r="H2007" s="11"/>
      <c r="I2007" s="12">
        <v>6</v>
      </c>
      <c r="J2007" s="12">
        <v>6</v>
      </c>
      <c r="K2007" s="13" t="str">
        <f>HYPERLINK("http://twitter.com/download/android","Twitter for Android")</f>
        <v>Twitter for Android</v>
      </c>
      <c r="L2007" s="12">
        <v>10227</v>
      </c>
      <c r="M2007" s="12">
        <v>9980</v>
      </c>
      <c r="N2007" s="12">
        <v>11</v>
      </c>
      <c r="O2007" s="15"/>
      <c r="P2007" s="6">
        <v>41443.858495370368</v>
      </c>
      <c r="Q2007" s="16" t="s">
        <v>28</v>
      </c>
      <c r="R2007" s="17" t="s">
        <v>7715</v>
      </c>
      <c r="S2007" s="11"/>
      <c r="T2007" s="11"/>
      <c r="U2007" s="10" t="str">
        <f>HYPERLINK("https://pbs.twimg.com/profile_images/971156588877811714/8x80uvOo.jpg","View")</f>
        <v>View</v>
      </c>
    </row>
    <row r="2008" spans="1:21" ht="30.6">
      <c r="A2008" s="6">
        <v>43424.863495370373</v>
      </c>
      <c r="B2008" s="7" t="str">
        <f>HYPERLINK("https://twitter.com/nomemandescall3","@nomemandescall3")</f>
        <v>@nomemandescall3</v>
      </c>
      <c r="C2008" s="8" t="s">
        <v>7716</v>
      </c>
      <c r="D2008" s="9" t="s">
        <v>7717</v>
      </c>
      <c r="E2008" s="10" t="str">
        <f>HYPERLINK("https://twitter.com/nomemandescall3/status/1065103368316686338","1065103368316686338")</f>
        <v>1065103368316686338</v>
      </c>
      <c r="F2008" s="14" t="s">
        <v>7408</v>
      </c>
      <c r="G2008" s="11"/>
      <c r="H2008" s="11"/>
      <c r="I2008" s="12">
        <v>0</v>
      </c>
      <c r="J2008" s="12">
        <v>0</v>
      </c>
      <c r="K2008" s="13" t="str">
        <f>HYPERLINK("http://twitter.com/download/iphone","Twitter for iPhone")</f>
        <v>Twitter for iPhone</v>
      </c>
      <c r="L2008" s="12">
        <v>166</v>
      </c>
      <c r="M2008" s="12">
        <v>215</v>
      </c>
      <c r="N2008" s="12">
        <v>0</v>
      </c>
      <c r="O2008" s="15"/>
      <c r="P2008" s="6">
        <v>43284.383842592593</v>
      </c>
      <c r="Q2008" s="16" t="s">
        <v>406</v>
      </c>
      <c r="R2008" s="17" t="s">
        <v>7718</v>
      </c>
      <c r="S2008" s="11"/>
      <c r="T2008" s="11"/>
      <c r="U2008" s="10" t="str">
        <f>HYPERLINK("https://pbs.twimg.com/profile_images/1065664208388456458/ySf0syG8.jpg","View")</f>
        <v>View</v>
      </c>
    </row>
    <row r="2009" spans="1:21" ht="20.399999999999999">
      <c r="A2009" s="6">
        <v>43424.845300925925</v>
      </c>
      <c r="B2009" s="7" t="str">
        <f>HYPERLINK("https://twitter.com/LeonVillamo","@LeonVillamo")</f>
        <v>@LeonVillamo</v>
      </c>
      <c r="C2009" s="8" t="s">
        <v>7719</v>
      </c>
      <c r="D2009" s="9" t="s">
        <v>7720</v>
      </c>
      <c r="E2009" s="10" t="str">
        <f>HYPERLINK("https://twitter.com/LeonVillamo/status/1065096775252488192","1065096775252488192")</f>
        <v>1065096775252488192</v>
      </c>
      <c r="F2009" s="14" t="s">
        <v>7721</v>
      </c>
      <c r="G2009" s="11"/>
      <c r="H2009" s="11"/>
      <c r="I2009" s="12">
        <v>0</v>
      </c>
      <c r="J2009" s="12">
        <v>0</v>
      </c>
      <c r="K2009" s="13" t="str">
        <f>HYPERLINK("https://www.google.com/","Google")</f>
        <v>Google</v>
      </c>
      <c r="L2009" s="12">
        <v>135</v>
      </c>
      <c r="M2009" s="12">
        <v>2162</v>
      </c>
      <c r="N2009" s="12">
        <v>4</v>
      </c>
      <c r="O2009" s="15"/>
      <c r="P2009" s="6">
        <v>40749.459108796298</v>
      </c>
      <c r="Q2009" s="16" t="s">
        <v>7722</v>
      </c>
      <c r="R2009" s="17" t="s">
        <v>7723</v>
      </c>
      <c r="S2009" s="11"/>
      <c r="T2009" s="11"/>
      <c r="U2009" s="10" t="str">
        <f>HYPERLINK("https://pbs.twimg.com/profile_images/551244058987728896/_DerFE92.jpeg","View")</f>
        <v>View</v>
      </c>
    </row>
    <row r="2010" spans="1:21" ht="51">
      <c r="A2010" s="6">
        <v>43424.844826388886</v>
      </c>
      <c r="B2010" s="7" t="str">
        <f>HYPERLINK("https://twitter.com/andresnachon","@andresnachon")</f>
        <v>@andresnachon</v>
      </c>
      <c r="C2010" s="8" t="s">
        <v>4652</v>
      </c>
      <c r="D2010" s="9" t="s">
        <v>4653</v>
      </c>
      <c r="E2010" s="10" t="str">
        <f>HYPERLINK("https://twitter.com/andresnachon/status/1065096602652676097","1065096602652676097")</f>
        <v>1065096602652676097</v>
      </c>
      <c r="F2010" s="11"/>
      <c r="G2010" s="14" t="s">
        <v>4654</v>
      </c>
      <c r="H2010" s="11"/>
      <c r="I2010" s="12">
        <v>0</v>
      </c>
      <c r="J2010" s="12">
        <v>0</v>
      </c>
      <c r="K2010" s="13" t="str">
        <f>HYPERLINK("http://twitter.com/download/android","Twitter for Android")</f>
        <v>Twitter for Android</v>
      </c>
      <c r="L2010" s="12">
        <v>105</v>
      </c>
      <c r="M2010" s="12">
        <v>212</v>
      </c>
      <c r="N2010" s="12">
        <v>2</v>
      </c>
      <c r="O2010" s="15"/>
      <c r="P2010" s="6">
        <v>40323.757939814815</v>
      </c>
      <c r="Q2010" s="11"/>
      <c r="R2010" s="17" t="s">
        <v>4657</v>
      </c>
      <c r="S2010" s="11"/>
      <c r="T2010" s="11"/>
      <c r="U2010" s="10" t="str">
        <f>HYPERLINK("https://pbs.twimg.com/profile_images/458025448862019584/mQPmdCG8.jpeg","View")</f>
        <v>View</v>
      </c>
    </row>
    <row r="2011" spans="1:21" ht="40.799999999999997">
      <c r="A2011" s="6">
        <v>43424.842418981483</v>
      </c>
      <c r="B2011" s="7" t="str">
        <f>HYPERLINK("https://twitter.com/AdeSiracusa","@AdeSiracusa")</f>
        <v>@AdeSiracusa</v>
      </c>
      <c r="C2011" s="8" t="s">
        <v>3890</v>
      </c>
      <c r="D2011" s="9" t="s">
        <v>7724</v>
      </c>
      <c r="E2011" s="10" t="str">
        <f>HYPERLINK("https://twitter.com/AdeSiracusa/status/1065095732196196352","1065095732196196352")</f>
        <v>1065095732196196352</v>
      </c>
      <c r="F2011" s="14" t="s">
        <v>7725</v>
      </c>
      <c r="G2011" s="11"/>
      <c r="H2011" s="11"/>
      <c r="I2011" s="12">
        <v>0</v>
      </c>
      <c r="J2011" s="12">
        <v>0</v>
      </c>
      <c r="K2011" s="13" t="str">
        <f>HYPERLINK("http://www.republicosvenezuela.com/","AdeSiracusa")</f>
        <v>AdeSiracusa</v>
      </c>
      <c r="L2011" s="12">
        <v>3920</v>
      </c>
      <c r="M2011" s="12">
        <v>3927</v>
      </c>
      <c r="N2011" s="12">
        <v>12</v>
      </c>
      <c r="O2011" s="15"/>
      <c r="P2011" s="6">
        <v>42958.201388888891</v>
      </c>
      <c r="Q2011" s="16" t="s">
        <v>3893</v>
      </c>
      <c r="R2011" s="17" t="s">
        <v>3894</v>
      </c>
      <c r="S2011" s="11"/>
      <c r="T2011" s="11"/>
      <c r="U2011" s="10" t="str">
        <f>HYPERLINK("https://pbs.twimg.com/profile_images/895978354591105024/x2wNXrPl.jpg","View")</f>
        <v>View</v>
      </c>
    </row>
    <row r="2012" spans="1:21" ht="51">
      <c r="A2012" s="6">
        <v>43424.811388888891</v>
      </c>
      <c r="B2012" s="7" t="str">
        <f>HYPERLINK("https://twitter.com/Sevilla24H","@Sevilla24H")</f>
        <v>@Sevilla24H</v>
      </c>
      <c r="C2012" s="8" t="s">
        <v>1253</v>
      </c>
      <c r="D2012" s="9" t="s">
        <v>7726</v>
      </c>
      <c r="E2012" s="10" t="str">
        <f>HYPERLINK("https://twitter.com/Sevilla24H/status/1065084484775829504","1065084484775829504")</f>
        <v>1065084484775829504</v>
      </c>
      <c r="F2012" s="14" t="s">
        <v>7727</v>
      </c>
      <c r="G2012" s="11"/>
      <c r="H2012" s="11"/>
      <c r="I2012" s="12">
        <v>0</v>
      </c>
      <c r="J2012" s="12">
        <v>0</v>
      </c>
      <c r="K2012" s="13" t="str">
        <f>HYPERLINK("https://ifttt.com","IFTTT")</f>
        <v>IFTTT</v>
      </c>
      <c r="L2012" s="12">
        <v>502</v>
      </c>
      <c r="M2012" s="12">
        <v>750</v>
      </c>
      <c r="N2012" s="12">
        <v>11</v>
      </c>
      <c r="O2012" s="15"/>
      <c r="P2012" s="6">
        <v>41294.224583333329</v>
      </c>
      <c r="Q2012" s="16" t="s">
        <v>1059</v>
      </c>
      <c r="R2012" s="17" t="s">
        <v>1260</v>
      </c>
      <c r="S2012" s="14" t="s">
        <v>1261</v>
      </c>
      <c r="T2012" s="11"/>
      <c r="U2012" s="10" t="str">
        <f>HYPERLINK("https://pbs.twimg.com/profile_images/833777334108975104/fgeZLBXg.jpg","View")</f>
        <v>View</v>
      </c>
    </row>
    <row r="2013" spans="1:21" ht="20.399999999999999">
      <c r="A2013" s="6">
        <v>43424.80604166667</v>
      </c>
      <c r="B2013" s="7" t="str">
        <f>HYPERLINK("https://twitter.com/ricard0miranda","@ricard0miranda")</f>
        <v>@ricard0miranda</v>
      </c>
      <c r="C2013" s="8" t="s">
        <v>7681</v>
      </c>
      <c r="D2013" s="9" t="s">
        <v>7728</v>
      </c>
      <c r="E2013" s="10" t="str">
        <f>HYPERLINK("https://twitter.com/ricard0miranda/status/1065082547535847430","1065082547535847430")</f>
        <v>1065082547535847430</v>
      </c>
      <c r="F2013" s="14" t="s">
        <v>4200</v>
      </c>
      <c r="G2013" s="11"/>
      <c r="H2013" s="11"/>
      <c r="I2013" s="12">
        <v>0</v>
      </c>
      <c r="J2013" s="12">
        <v>0</v>
      </c>
      <c r="K2013" s="13" t="str">
        <f>HYPERLINK("http://twitter.com","Twitter Web Client")</f>
        <v>Twitter Web Client</v>
      </c>
      <c r="L2013" s="12">
        <v>253</v>
      </c>
      <c r="M2013" s="12">
        <v>296</v>
      </c>
      <c r="N2013" s="12">
        <v>2</v>
      </c>
      <c r="O2013" s="15"/>
      <c r="P2013" s="6">
        <v>40423.160497685181</v>
      </c>
      <c r="Q2013" s="16" t="s">
        <v>493</v>
      </c>
      <c r="R2013" s="17" t="s">
        <v>7683</v>
      </c>
      <c r="S2013" s="11"/>
      <c r="T2013" s="11"/>
      <c r="U2013" s="10" t="str">
        <f>HYPERLINK("https://pbs.twimg.com/profile_images/985119495252475906/0gRndtys.jpg","View")</f>
        <v>View</v>
      </c>
    </row>
    <row r="2014" spans="1:21" ht="20.399999999999999">
      <c r="A2014" s="6">
        <v>43424.765578703707</v>
      </c>
      <c r="B2014" s="7" t="str">
        <f>HYPERLINK("https://twitter.com/PBMarbeMalaga","@PBMarbeMalaga")</f>
        <v>@PBMarbeMalaga</v>
      </c>
      <c r="C2014" s="8" t="s">
        <v>3898</v>
      </c>
      <c r="D2014" s="9" t="s">
        <v>7729</v>
      </c>
      <c r="E2014" s="10" t="str">
        <f>HYPERLINK("https://twitter.com/PBMarbeMalaga/status/1065067886778175489","1065067886778175489")</f>
        <v>1065067886778175489</v>
      </c>
      <c r="F2014" s="14" t="s">
        <v>7730</v>
      </c>
      <c r="G2014" s="11"/>
      <c r="H2014" s="11"/>
      <c r="I2014" s="12">
        <v>0</v>
      </c>
      <c r="J2014" s="12">
        <v>0</v>
      </c>
      <c r="K2014" s="13" t="str">
        <f>HYPERLINK("https://javitang.ddns.net","PBMarbeMalaga")</f>
        <v>PBMarbeMalaga</v>
      </c>
      <c r="L2014" s="12">
        <v>1222</v>
      </c>
      <c r="M2014" s="12">
        <v>1245</v>
      </c>
      <c r="N2014" s="12">
        <v>2</v>
      </c>
      <c r="O2014" s="15"/>
      <c r="P2014" s="6">
        <v>43149.439074074078</v>
      </c>
      <c r="Q2014" s="16" t="s">
        <v>3899</v>
      </c>
      <c r="R2014" s="17" t="s">
        <v>3900</v>
      </c>
      <c r="S2014" s="11"/>
      <c r="T2014" s="11"/>
      <c r="U2014" s="10" t="str">
        <f>HYPERLINK("https://pbs.twimg.com/profile_images/965296691145531392/sAFnfUu2.jpg","View")</f>
        <v>View</v>
      </c>
    </row>
    <row r="2015" spans="1:21" ht="40.799999999999997">
      <c r="A2015" s="6">
        <v>43424.753298611111</v>
      </c>
      <c r="B2015" s="7" t="str">
        <f>HYPERLINK("https://twitter.com/info_dlp","@info_dlp")</f>
        <v>@info_dlp</v>
      </c>
      <c r="C2015" s="8" t="s">
        <v>7731</v>
      </c>
      <c r="D2015" s="9" t="s">
        <v>5924</v>
      </c>
      <c r="E2015" s="10" t="str">
        <f>HYPERLINK("https://twitter.com/info_dlp/status/1065063433018716160","1065063433018716160")</f>
        <v>1065063433018716160</v>
      </c>
      <c r="F2015" s="14" t="s">
        <v>5925</v>
      </c>
      <c r="G2015" s="11"/>
      <c r="H2015" s="11"/>
      <c r="I2015" s="12">
        <v>0</v>
      </c>
      <c r="J2015" s="12">
        <v>1</v>
      </c>
      <c r="K2015" s="13" t="str">
        <f>HYPERLINK("http://www.facebook.com/twitter","Facebook")</f>
        <v>Facebook</v>
      </c>
      <c r="L2015" s="12">
        <v>716</v>
      </c>
      <c r="M2015" s="12">
        <v>1911</v>
      </c>
      <c r="N2015" s="12">
        <v>0</v>
      </c>
      <c r="O2015" s="15"/>
      <c r="P2015" s="6">
        <v>43334.079629629632</v>
      </c>
      <c r="Q2015" s="16" t="s">
        <v>28</v>
      </c>
      <c r="R2015" s="17" t="s">
        <v>7732</v>
      </c>
      <c r="S2015" s="14" t="s">
        <v>7733</v>
      </c>
      <c r="T2015" s="11"/>
      <c r="U2015" s="10" t="str">
        <f>HYPERLINK("https://pbs.twimg.com/profile_images/1039507956469882880/qlPJEIuk.jpg","View")</f>
        <v>View</v>
      </c>
    </row>
    <row r="2016" spans="1:21" ht="91.8">
      <c r="A2016" s="6">
        <v>43424.747800925921</v>
      </c>
      <c r="B2016" s="7" t="str">
        <f>HYPERLINK("https://twitter.com/aikitwiter","@aikitwiter")</f>
        <v>@aikitwiter</v>
      </c>
      <c r="C2016" s="8" t="s">
        <v>4659</v>
      </c>
      <c r="D2016" s="9" t="s">
        <v>4660</v>
      </c>
      <c r="E2016" s="10" t="str">
        <f>HYPERLINK("https://twitter.com/aikitwiter/status/1065061441470939136","1065061441470939136")</f>
        <v>1065061441470939136</v>
      </c>
      <c r="F2016" s="16" t="s">
        <v>4663</v>
      </c>
      <c r="G2016" s="11"/>
      <c r="H2016" s="11"/>
      <c r="I2016" s="12">
        <v>0</v>
      </c>
      <c r="J2016" s="12">
        <v>0</v>
      </c>
      <c r="K2016" s="13" t="str">
        <f>HYPERLINK("http://twitter.com/download/android","Twitter for Android")</f>
        <v>Twitter for Android</v>
      </c>
      <c r="L2016" s="12">
        <v>204</v>
      </c>
      <c r="M2016" s="12">
        <v>59</v>
      </c>
      <c r="N2016" s="12">
        <v>4</v>
      </c>
      <c r="O2016" s="15"/>
      <c r="P2016" s="6">
        <v>42521.25509259259</v>
      </c>
      <c r="Q2016" s="16" t="s">
        <v>4665</v>
      </c>
      <c r="R2016" s="17" t="s">
        <v>4666</v>
      </c>
      <c r="S2016" s="11"/>
      <c r="T2016" s="11"/>
      <c r="U2016" s="10" t="str">
        <f>HYPERLINK("https://pbs.twimg.com/profile_images/747691348782874624/9TbgSJ95.jpg","View")</f>
        <v>View</v>
      </c>
    </row>
    <row r="2017" spans="1:21" ht="40.799999999999997">
      <c r="A2017" s="6">
        <v>43424.717928240745</v>
      </c>
      <c r="B2017" s="7" t="str">
        <f>HYPERLINK("https://twitter.com/Esparroqui","@Esparroqui")</f>
        <v>@Esparroqui</v>
      </c>
      <c r="C2017" s="8" t="s">
        <v>4668</v>
      </c>
      <c r="D2017" s="9" t="s">
        <v>4669</v>
      </c>
      <c r="E2017" s="10" t="str">
        <f>HYPERLINK("https://twitter.com/Esparroqui/status/1065050618434396160","1065050618434396160")</f>
        <v>1065050618434396160</v>
      </c>
      <c r="F2017" s="11"/>
      <c r="G2017" s="11"/>
      <c r="H2017" s="11"/>
      <c r="I2017" s="12">
        <v>13</v>
      </c>
      <c r="J2017" s="12">
        <v>28</v>
      </c>
      <c r="K2017" s="13" t="str">
        <f>HYPERLINK("http://twitter.com","Twitter Web Client")</f>
        <v>Twitter Web Client</v>
      </c>
      <c r="L2017" s="12">
        <v>46540</v>
      </c>
      <c r="M2017" s="12">
        <v>19062</v>
      </c>
      <c r="N2017" s="12">
        <v>316</v>
      </c>
      <c r="O2017" s="15"/>
      <c r="P2017" s="6">
        <v>40877.325613425928</v>
      </c>
      <c r="Q2017" s="16" t="s">
        <v>4670</v>
      </c>
      <c r="R2017" s="17" t="s">
        <v>4671</v>
      </c>
      <c r="S2017" s="14" t="s">
        <v>4672</v>
      </c>
      <c r="T2017" s="11"/>
      <c r="U2017" s="10" t="str">
        <f>HYPERLINK("https://pbs.twimg.com/profile_images/1017537354955882497/9PtegggA.jpg","View")</f>
        <v>View</v>
      </c>
    </row>
    <row r="2018" spans="1:21" ht="40.799999999999997">
      <c r="A2018" s="6">
        <v>43424.702013888891</v>
      </c>
      <c r="B2018" s="7" t="str">
        <f>HYPERLINK("https://twitter.com/fitoferreiro","@fitoferreiro")</f>
        <v>@fitoferreiro</v>
      </c>
      <c r="C2018" s="8" t="s">
        <v>7734</v>
      </c>
      <c r="D2018" s="9" t="s">
        <v>7735</v>
      </c>
      <c r="E2018" s="10" t="str">
        <f>HYPERLINK("https://twitter.com/fitoferreiro/status/1065044850423275525","1065044850423275525")</f>
        <v>1065044850423275525</v>
      </c>
      <c r="F2018" s="11"/>
      <c r="G2018" s="14" t="s">
        <v>7736</v>
      </c>
      <c r="H2018" s="11"/>
      <c r="I2018" s="12">
        <v>2</v>
      </c>
      <c r="J2018" s="12">
        <v>5</v>
      </c>
      <c r="K2018" s="13" t="str">
        <f>HYPERLINK("http://twitter.com/download/iphone","Twitter for iPhone")</f>
        <v>Twitter for iPhone</v>
      </c>
      <c r="L2018" s="12">
        <v>3637</v>
      </c>
      <c r="M2018" s="12">
        <v>4617</v>
      </c>
      <c r="N2018" s="12">
        <v>70</v>
      </c>
      <c r="O2018" s="15"/>
      <c r="P2018" s="6">
        <v>40740.534212962964</v>
      </c>
      <c r="Q2018" s="11"/>
      <c r="R2018" s="17" t="s">
        <v>7737</v>
      </c>
      <c r="S2018" s="14" t="s">
        <v>7738</v>
      </c>
      <c r="T2018" s="11"/>
      <c r="U2018" s="10" t="str">
        <f>HYPERLINK("https://pbs.twimg.com/profile_images/1042442894920040448/o2L1o98e.jpg","View")</f>
        <v>View</v>
      </c>
    </row>
    <row r="2019" spans="1:21" ht="20.399999999999999">
      <c r="A2019" s="6">
        <v>43424.700254629628</v>
      </c>
      <c r="B2019" s="7" t="str">
        <f>HYPERLINK("https://twitter.com/RealRaGeOficial","@RealRaGeOficial")</f>
        <v>@RealRaGeOficial</v>
      </c>
      <c r="C2019" s="8" t="s">
        <v>6658</v>
      </c>
      <c r="D2019" s="9" t="s">
        <v>7739</v>
      </c>
      <c r="E2019" s="10" t="str">
        <f>HYPERLINK("https://twitter.com/RealRaGeOficial/status/1065044211697881090","1065044211697881090")</f>
        <v>1065044211697881090</v>
      </c>
      <c r="F2019" s="14" t="s">
        <v>7740</v>
      </c>
      <c r="G2019" s="11"/>
      <c r="H2019" s="11"/>
      <c r="I2019" s="12">
        <v>0</v>
      </c>
      <c r="J2019" s="12">
        <v>0</v>
      </c>
      <c r="K2019" s="13" t="str">
        <f>HYPERLINK("https://www.google.com/","Google")</f>
        <v>Google</v>
      </c>
      <c r="L2019" s="12">
        <v>51</v>
      </c>
      <c r="M2019" s="12">
        <v>272</v>
      </c>
      <c r="N2019" s="12">
        <v>6</v>
      </c>
      <c r="O2019" s="15"/>
      <c r="P2019" s="6">
        <v>42066.493402777778</v>
      </c>
      <c r="Q2019" s="16" t="s">
        <v>123</v>
      </c>
      <c r="R2019" s="17" t="s">
        <v>6661</v>
      </c>
      <c r="S2019" s="14" t="s">
        <v>6662</v>
      </c>
      <c r="T2019" s="11"/>
      <c r="U2019" s="10" t="str">
        <f>HYPERLINK("https://pbs.twimg.com/profile_images/602212424972906498/vTk_jNH5.jpg","View")</f>
        <v>View</v>
      </c>
    </row>
    <row r="2020" spans="1:21" ht="30.6">
      <c r="A2020" s="6">
        <v>43424.696921296301</v>
      </c>
      <c r="B2020" s="7" t="str">
        <f>HYPERLINK("https://twitter.com/Noel_PI","@Noel_PI")</f>
        <v>@Noel_PI</v>
      </c>
      <c r="C2020" s="8" t="s">
        <v>7741</v>
      </c>
      <c r="D2020" s="9" t="s">
        <v>7742</v>
      </c>
      <c r="E2020" s="10" t="str">
        <f>HYPERLINK("https://twitter.com/Noel_PI/status/1065043004312948736","1065043004312948736")</f>
        <v>1065043004312948736</v>
      </c>
      <c r="F2020" s="14" t="s">
        <v>1751</v>
      </c>
      <c r="G2020" s="11"/>
      <c r="H2020" s="11"/>
      <c r="I2020" s="12">
        <v>0</v>
      </c>
      <c r="J2020" s="12">
        <v>0</v>
      </c>
      <c r="K2020" s="13" t="str">
        <f>HYPERLINK("http://twitter.com","Twitter Web Client")</f>
        <v>Twitter Web Client</v>
      </c>
      <c r="L2020" s="12">
        <v>505</v>
      </c>
      <c r="M2020" s="12">
        <v>667</v>
      </c>
      <c r="N2020" s="12">
        <v>95</v>
      </c>
      <c r="O2020" s="15"/>
      <c r="P2020" s="6">
        <v>40779.703460648147</v>
      </c>
      <c r="Q2020" s="16" t="s">
        <v>5281</v>
      </c>
      <c r="R2020" s="17" t="s">
        <v>7743</v>
      </c>
      <c r="S2020" s="11"/>
      <c r="T2020" s="11"/>
      <c r="U2020" s="10" t="str">
        <f>HYPERLINK("https://pbs.twimg.com/profile_images/1063066881811247105/C4uGlOP7.jpg","View")</f>
        <v>View</v>
      </c>
    </row>
    <row r="2021" spans="1:21" ht="40.799999999999997">
      <c r="A2021" s="6">
        <v>43424.695474537039</v>
      </c>
      <c r="B2021" s="7" t="str">
        <f>HYPERLINK("https://twitter.com/AdeSiracusa","@AdeSiracusa")</f>
        <v>@AdeSiracusa</v>
      </c>
      <c r="C2021" s="8" t="s">
        <v>3890</v>
      </c>
      <c r="D2021" s="9" t="s">
        <v>7744</v>
      </c>
      <c r="E2021" s="10" t="str">
        <f>HYPERLINK("https://twitter.com/AdeSiracusa/status/1065042480561864704","1065042480561864704")</f>
        <v>1065042480561864704</v>
      </c>
      <c r="F2021" s="14" t="s">
        <v>7745</v>
      </c>
      <c r="G2021" s="11"/>
      <c r="H2021" s="11"/>
      <c r="I2021" s="12">
        <v>0</v>
      </c>
      <c r="J2021" s="12">
        <v>0</v>
      </c>
      <c r="K2021" s="13" t="str">
        <f>HYPERLINK("http://www.republicosvenezuela.com/","AdeSiracusa")</f>
        <v>AdeSiracusa</v>
      </c>
      <c r="L2021" s="12">
        <v>3920</v>
      </c>
      <c r="M2021" s="12">
        <v>3927</v>
      </c>
      <c r="N2021" s="12">
        <v>12</v>
      </c>
      <c r="O2021" s="15"/>
      <c r="P2021" s="6">
        <v>42958.201388888891</v>
      </c>
      <c r="Q2021" s="16" t="s">
        <v>3893</v>
      </c>
      <c r="R2021" s="17" t="s">
        <v>3894</v>
      </c>
      <c r="S2021" s="11"/>
      <c r="T2021" s="11"/>
      <c r="U2021" s="10" t="str">
        <f>HYPERLINK("https://pbs.twimg.com/profile_images/895978354591105024/x2wNXrPl.jpg","View")</f>
        <v>View</v>
      </c>
    </row>
    <row r="2022" spans="1:21" ht="71.400000000000006">
      <c r="A2022" s="6">
        <v>43424.689675925925</v>
      </c>
      <c r="B2022" s="7" t="str">
        <f>HYPERLINK("https://twitter.com/betani_benjamin","@betani_benjamin")</f>
        <v>@betani_benjamin</v>
      </c>
      <c r="C2022" s="8" t="s">
        <v>4673</v>
      </c>
      <c r="D2022" s="9" t="s">
        <v>4674</v>
      </c>
      <c r="E2022" s="10" t="str">
        <f>HYPERLINK("https://twitter.com/betani_benjamin/status/1065040380721340419","1065040380721340419")</f>
        <v>1065040380721340419</v>
      </c>
      <c r="F2022" s="16" t="s">
        <v>4675</v>
      </c>
      <c r="G2022" s="11"/>
      <c r="H2022" s="11"/>
      <c r="I2022" s="12">
        <v>0</v>
      </c>
      <c r="J2022" s="12">
        <v>0</v>
      </c>
      <c r="K2022" s="13" t="str">
        <f>HYPERLINK("http://twitter.com","Twitter Web Client")</f>
        <v>Twitter Web Client</v>
      </c>
      <c r="L2022" s="12">
        <v>168</v>
      </c>
      <c r="M2022" s="12">
        <v>453</v>
      </c>
      <c r="N2022" s="12">
        <v>0</v>
      </c>
      <c r="O2022" s="15"/>
      <c r="P2022" s="6">
        <v>40769.658148148148</v>
      </c>
      <c r="Q2022" s="16" t="s">
        <v>4676</v>
      </c>
      <c r="R2022" s="17" t="s">
        <v>4677</v>
      </c>
      <c r="S2022" s="11"/>
      <c r="T2022" s="11"/>
      <c r="U2022" s="10" t="str">
        <f>HYPERLINK("https://pbs.twimg.com/profile_images/378800000745130849/3c6fcb5923e4555985d4f118abe738fe.jpeg","View")</f>
        <v>View</v>
      </c>
    </row>
    <row r="2023" spans="1:21" ht="30.6">
      <c r="A2023" s="6">
        <v>43424.68136574074</v>
      </c>
      <c r="B2023" s="7" t="str">
        <f>HYPERLINK("https://twitter.com/Duelelab","@Duelelab")</f>
        <v>@Duelelab</v>
      </c>
      <c r="C2023" s="8" t="s">
        <v>7746</v>
      </c>
      <c r="D2023" s="9" t="s">
        <v>7747</v>
      </c>
      <c r="E2023" s="10" t="str">
        <f>HYPERLINK("https://twitter.com/Duelelab/status/1065037365700411392","1065037365700411392")</f>
        <v>1065037365700411392</v>
      </c>
      <c r="F2023" s="11"/>
      <c r="G2023" s="11"/>
      <c r="H2023" s="11"/>
      <c r="I2023" s="12">
        <v>18</v>
      </c>
      <c r="J2023" s="12">
        <v>62</v>
      </c>
      <c r="K2023" s="13" t="str">
        <f>HYPERLINK("http://twitter.com/download/android","Twitter for Android")</f>
        <v>Twitter for Android</v>
      </c>
      <c r="L2023" s="12">
        <v>10113</v>
      </c>
      <c r="M2023" s="12">
        <v>3422</v>
      </c>
      <c r="N2023" s="12">
        <v>105</v>
      </c>
      <c r="O2023" s="15"/>
      <c r="P2023" s="6">
        <v>41830.389004629629</v>
      </c>
      <c r="Q2023" s="11"/>
      <c r="R2023" s="17" t="s">
        <v>7748</v>
      </c>
      <c r="S2023" s="11"/>
      <c r="T2023" s="11"/>
      <c r="U2023" s="10" t="str">
        <f>HYPERLINK("https://pbs.twimg.com/profile_images/914050990097223680/V25T08jL.jpg","View")</f>
        <v>View</v>
      </c>
    </row>
    <row r="2024" spans="1:21" ht="20.399999999999999">
      <c r="A2024" s="6">
        <v>43424.681238425925</v>
      </c>
      <c r="B2024" s="7" t="str">
        <f>HYPERLINK("https://twitter.com/PBMarbeMalaga","@PBMarbeMalaga")</f>
        <v>@PBMarbeMalaga</v>
      </c>
      <c r="C2024" s="8" t="s">
        <v>3898</v>
      </c>
      <c r="D2024" s="9" t="s">
        <v>7749</v>
      </c>
      <c r="E2024" s="10" t="str">
        <f>HYPERLINK("https://twitter.com/PBMarbeMalaga/status/1065037321849004032","1065037321849004032")</f>
        <v>1065037321849004032</v>
      </c>
      <c r="F2024" s="14" t="s">
        <v>7750</v>
      </c>
      <c r="G2024" s="11"/>
      <c r="H2024" s="11"/>
      <c r="I2024" s="12">
        <v>0</v>
      </c>
      <c r="J2024" s="12">
        <v>0</v>
      </c>
      <c r="K2024" s="13" t="str">
        <f>HYPERLINK("https://javitang.ddns.net","PBMarbeMalaga")</f>
        <v>PBMarbeMalaga</v>
      </c>
      <c r="L2024" s="12">
        <v>1222</v>
      </c>
      <c r="M2024" s="12">
        <v>1245</v>
      </c>
      <c r="N2024" s="12">
        <v>2</v>
      </c>
      <c r="O2024" s="15"/>
      <c r="P2024" s="6">
        <v>43149.439074074078</v>
      </c>
      <c r="Q2024" s="16" t="s">
        <v>3899</v>
      </c>
      <c r="R2024" s="17" t="s">
        <v>3900</v>
      </c>
      <c r="S2024" s="11"/>
      <c r="T2024" s="11"/>
      <c r="U2024" s="10" t="str">
        <f>HYPERLINK("https://pbs.twimg.com/profile_images/965296691145531392/sAFnfUu2.jpg","View")</f>
        <v>View</v>
      </c>
    </row>
    <row r="2025" spans="1:21" ht="40.799999999999997">
      <c r="A2025" s="6">
        <v>43424.665833333333</v>
      </c>
      <c r="B2025" s="7" t="str">
        <f>HYPERLINK("https://twitter.com/Um7bjTw","@Um7bjTw")</f>
        <v>@Um7bjTw</v>
      </c>
      <c r="C2025" s="8" t="s">
        <v>7526</v>
      </c>
      <c r="D2025" s="9" t="s">
        <v>7751</v>
      </c>
      <c r="E2025" s="10" t="str">
        <f>HYPERLINK("https://twitter.com/Um7bjTw/status/1065031739486146561","1065031739486146561")</f>
        <v>1065031739486146561</v>
      </c>
      <c r="F2025" s="14" t="s">
        <v>7752</v>
      </c>
      <c r="G2025" s="11"/>
      <c r="H2025" s="11"/>
      <c r="I2025" s="12">
        <v>0</v>
      </c>
      <c r="J2025" s="12">
        <v>0</v>
      </c>
      <c r="K2025" s="13" t="str">
        <f>HYPERLINK("https://www.google.com/","Google")</f>
        <v>Google</v>
      </c>
      <c r="L2025" s="12">
        <v>802</v>
      </c>
      <c r="M2025" s="12">
        <v>441</v>
      </c>
      <c r="N2025" s="12">
        <v>7</v>
      </c>
      <c r="O2025" s="15"/>
      <c r="P2025" s="6">
        <v>42734.23572916667</v>
      </c>
      <c r="Q2025" s="11"/>
      <c r="R2025" s="17" t="s">
        <v>7529</v>
      </c>
      <c r="S2025" s="14" t="s">
        <v>7530</v>
      </c>
      <c r="T2025" s="11"/>
      <c r="U2025" s="10" t="str">
        <f>HYPERLINK("https://pbs.twimg.com/profile_images/1062421967184318464/y4ANpBOM.jpg","View")</f>
        <v>View</v>
      </c>
    </row>
    <row r="2026" spans="1:21" ht="122.4">
      <c r="A2026" s="6">
        <v>43424.664513888885</v>
      </c>
      <c r="B2026" s="7" t="str">
        <f t="shared" ref="B2026:B2027" si="420">HYPERLINK("https://twitter.com/Tataguay","@Tataguay")</f>
        <v>@Tataguay</v>
      </c>
      <c r="C2026" s="8" t="s">
        <v>1314</v>
      </c>
      <c r="D2026" s="9" t="s">
        <v>4678</v>
      </c>
      <c r="E2026" s="10" t="str">
        <f>HYPERLINK("https://twitter.com/Tataguay/status/1065031261067100160","1065031261067100160")</f>
        <v>1065031261067100160</v>
      </c>
      <c r="F2026" s="14" t="s">
        <v>4679</v>
      </c>
      <c r="G2026" s="11"/>
      <c r="H2026" s="11"/>
      <c r="I2026" s="12">
        <v>0</v>
      </c>
      <c r="J2026" s="12">
        <v>0</v>
      </c>
      <c r="K2026" s="13" t="str">
        <f t="shared" ref="K2026:K2027" si="421">HYPERLINK("http://twitter.com","Twitter Web Client")</f>
        <v>Twitter Web Client</v>
      </c>
      <c r="L2026" s="12">
        <v>982</v>
      </c>
      <c r="M2026" s="12">
        <v>1892</v>
      </c>
      <c r="N2026" s="12">
        <v>4</v>
      </c>
      <c r="O2026" s="15"/>
      <c r="P2026" s="6">
        <v>40478.260636574072</v>
      </c>
      <c r="Q2026" s="16" t="s">
        <v>1320</v>
      </c>
      <c r="R2026" s="17" t="s">
        <v>1321</v>
      </c>
      <c r="S2026" s="11"/>
      <c r="T2026" s="11"/>
      <c r="U2026" s="10" t="str">
        <f t="shared" ref="U2026:U2027" si="422">HYPERLINK("https://pbs.twimg.com/profile_images/914989519966998528/V5sg3EYQ.jpg","View")</f>
        <v>View</v>
      </c>
    </row>
    <row r="2027" spans="1:21" ht="102">
      <c r="A2027" s="6">
        <v>43424.656331018516</v>
      </c>
      <c r="B2027" s="7" t="str">
        <f t="shared" si="420"/>
        <v>@Tataguay</v>
      </c>
      <c r="C2027" s="8" t="s">
        <v>1314</v>
      </c>
      <c r="D2027" s="9" t="s">
        <v>4681</v>
      </c>
      <c r="E2027" s="10" t="str">
        <f>HYPERLINK("https://twitter.com/Tataguay/status/1065028296474275840","1065028296474275840")</f>
        <v>1065028296474275840</v>
      </c>
      <c r="F2027" s="14" t="s">
        <v>4682</v>
      </c>
      <c r="G2027" s="14" t="s">
        <v>4683</v>
      </c>
      <c r="H2027" s="11"/>
      <c r="I2027" s="12">
        <v>0</v>
      </c>
      <c r="J2027" s="12">
        <v>0</v>
      </c>
      <c r="K2027" s="13" t="str">
        <f t="shared" si="421"/>
        <v>Twitter Web Client</v>
      </c>
      <c r="L2027" s="12">
        <v>982</v>
      </c>
      <c r="M2027" s="12">
        <v>1892</v>
      </c>
      <c r="N2027" s="12">
        <v>4</v>
      </c>
      <c r="O2027" s="15"/>
      <c r="P2027" s="6">
        <v>40478.260636574072</v>
      </c>
      <c r="Q2027" s="16" t="s">
        <v>1320</v>
      </c>
      <c r="R2027" s="17" t="s">
        <v>1321</v>
      </c>
      <c r="S2027" s="11"/>
      <c r="T2027" s="11"/>
      <c r="U2027" s="10" t="str">
        <f t="shared" si="422"/>
        <v>View</v>
      </c>
    </row>
    <row r="2028" spans="1:21" ht="81.599999999999994">
      <c r="A2028" s="6">
        <v>43424.652141203704</v>
      </c>
      <c r="B2028" s="7" t="str">
        <f>HYPERLINK("https://twitter.com/kagikasLor","@kagikasLor")</f>
        <v>@kagikasLor</v>
      </c>
      <c r="C2028" s="8" t="s">
        <v>7753</v>
      </c>
      <c r="D2028" s="9" t="s">
        <v>7754</v>
      </c>
      <c r="E2028" s="10" t="str">
        <f>HYPERLINK("https://twitter.com/kagikasLor/status/1065026778018676736","1065026778018676736")</f>
        <v>1065026778018676736</v>
      </c>
      <c r="F2028" s="14" t="s">
        <v>7755</v>
      </c>
      <c r="G2028" s="14" t="s">
        <v>7756</v>
      </c>
      <c r="H2028" s="11"/>
      <c r="I2028" s="12">
        <v>0</v>
      </c>
      <c r="J2028" s="12">
        <v>0</v>
      </c>
      <c r="K2028" s="13" t="str">
        <f>HYPERLINK("https://dlvrit.com/","dlvr.it")</f>
        <v>dlvr.it</v>
      </c>
      <c r="L2028" s="12">
        <v>6</v>
      </c>
      <c r="M2028" s="12">
        <v>0</v>
      </c>
      <c r="N2028" s="12">
        <v>0</v>
      </c>
      <c r="O2028" s="15"/>
      <c r="P2028" s="6">
        <v>41885.547372685185</v>
      </c>
      <c r="Q2028" s="16" t="s">
        <v>7757</v>
      </c>
      <c r="R2028" s="17" t="s">
        <v>7758</v>
      </c>
      <c r="S2028" s="14" t="s">
        <v>7759</v>
      </c>
      <c r="T2028" s="11"/>
      <c r="U2028" s="10" t="str">
        <f>HYPERLINK("https://pbs.twimg.com/profile_images/806928696074498052/jh0mmlWJ.jpg","View")</f>
        <v>View</v>
      </c>
    </row>
    <row r="2029" spans="1:21" ht="112.2">
      <c r="A2029" s="6">
        <v>43424.645312499997</v>
      </c>
      <c r="B2029" s="7" t="str">
        <f>HYPERLINK("https://twitter.com/Tataguay","@Tataguay")</f>
        <v>@Tataguay</v>
      </c>
      <c r="C2029" s="8" t="s">
        <v>1314</v>
      </c>
      <c r="D2029" s="9" t="s">
        <v>4686</v>
      </c>
      <c r="E2029" s="10" t="str">
        <f>HYPERLINK("https://twitter.com/Tataguay/status/1065024302167269376","1065024302167269376")</f>
        <v>1065024302167269376</v>
      </c>
      <c r="F2029" s="14" t="s">
        <v>4687</v>
      </c>
      <c r="G2029" s="11"/>
      <c r="H2029" s="11"/>
      <c r="I2029" s="12">
        <v>0</v>
      </c>
      <c r="J2029" s="12">
        <v>0</v>
      </c>
      <c r="K2029" s="13" t="str">
        <f>HYPERLINK("http://twitter.com","Twitter Web Client")</f>
        <v>Twitter Web Client</v>
      </c>
      <c r="L2029" s="12">
        <v>982</v>
      </c>
      <c r="M2029" s="12">
        <v>1892</v>
      </c>
      <c r="N2029" s="12">
        <v>4</v>
      </c>
      <c r="O2029" s="15"/>
      <c r="P2029" s="6">
        <v>40478.260636574072</v>
      </c>
      <c r="Q2029" s="16" t="s">
        <v>1320</v>
      </c>
      <c r="R2029" s="17" t="s">
        <v>1321</v>
      </c>
      <c r="S2029" s="11"/>
      <c r="T2029" s="11"/>
      <c r="U2029" s="10" t="str">
        <f>HYPERLINK("https://pbs.twimg.com/profile_images/914989519966998528/V5sg3EYQ.jpg","View")</f>
        <v>View</v>
      </c>
    </row>
    <row r="2030" spans="1:21" ht="20.399999999999999">
      <c r="A2030" s="6">
        <v>43424.643240740741</v>
      </c>
      <c r="B2030" s="7" t="str">
        <f>HYPERLINK("https://twitter.com/elimparcialESP","@elimparcialESP")</f>
        <v>@elimparcialESP</v>
      </c>
      <c r="C2030" s="8" t="s">
        <v>7760</v>
      </c>
      <c r="D2030" s="9" t="s">
        <v>7761</v>
      </c>
      <c r="E2030" s="10" t="str">
        <f>HYPERLINK("https://twitter.com/elimparcialESP/status/1065023552531894272","1065023552531894272")</f>
        <v>1065023552531894272</v>
      </c>
      <c r="F2030" s="14" t="s">
        <v>7762</v>
      </c>
      <c r="G2030" s="11"/>
      <c r="H2030" s="11"/>
      <c r="I2030" s="12">
        <v>2</v>
      </c>
      <c r="J2030" s="12">
        <v>5</v>
      </c>
      <c r="K2030" s="13" t="str">
        <f t="shared" ref="K2030:K2032" si="423">HYPERLINK("http://twitter.com/download/android","Twitter for Android")</f>
        <v>Twitter for Android</v>
      </c>
      <c r="L2030" s="12">
        <v>339</v>
      </c>
      <c r="M2030" s="12">
        <v>355</v>
      </c>
      <c r="N2030" s="12">
        <v>2</v>
      </c>
      <c r="O2030" s="15"/>
      <c r="P2030" s="6">
        <v>43006.626851851848</v>
      </c>
      <c r="Q2030" s="16" t="s">
        <v>28</v>
      </c>
      <c r="R2030" s="17" t="s">
        <v>7763</v>
      </c>
      <c r="S2030" s="11"/>
      <c r="T2030" s="11"/>
      <c r="U2030" s="10" t="str">
        <f>HYPERLINK("https://pbs.twimg.com/profile_images/1016831525004959744/FGoVVtK6.jpg","View")</f>
        <v>View</v>
      </c>
    </row>
    <row r="2031" spans="1:21" ht="102">
      <c r="A2031" s="6">
        <v>43424.64234953704</v>
      </c>
      <c r="B2031" s="7" t="str">
        <f>HYPERLINK("https://twitter.com/MSPE_CValencia","@MSPE_CValencia")</f>
        <v>@MSPE_CValencia</v>
      </c>
      <c r="C2031" s="8" t="s">
        <v>4688</v>
      </c>
      <c r="D2031" s="9" t="s">
        <v>4689</v>
      </c>
      <c r="E2031" s="10" t="str">
        <f>HYPERLINK("https://twitter.com/MSPE_CValencia/status/1065023226999386113","1065023226999386113")</f>
        <v>1065023226999386113</v>
      </c>
      <c r="F2031" s="14" t="s">
        <v>4690</v>
      </c>
      <c r="G2031" s="11"/>
      <c r="H2031" s="11"/>
      <c r="I2031" s="12">
        <v>4</v>
      </c>
      <c r="J2031" s="12">
        <v>9</v>
      </c>
      <c r="K2031" s="13" t="str">
        <f t="shared" si="423"/>
        <v>Twitter for Android</v>
      </c>
      <c r="L2031" s="12">
        <v>96</v>
      </c>
      <c r="M2031" s="12">
        <v>82</v>
      </c>
      <c r="N2031" s="12">
        <v>0</v>
      </c>
      <c r="O2031" s="15"/>
      <c r="P2031" s="6">
        <v>43286.259652777779</v>
      </c>
      <c r="Q2031" s="16" t="s">
        <v>2839</v>
      </c>
      <c r="R2031" s="17" t="s">
        <v>4693</v>
      </c>
      <c r="S2031" s="14" t="s">
        <v>4694</v>
      </c>
      <c r="T2031" s="11"/>
      <c r="U2031" s="10" t="str">
        <f>HYPERLINK("https://pbs.twimg.com/profile_images/1037964847441477632/X3aiAaXi.jpg","View")</f>
        <v>View</v>
      </c>
    </row>
    <row r="2032" spans="1:21" ht="122.4">
      <c r="A2032" s="6">
        <v>43424.640694444446</v>
      </c>
      <c r="B2032" s="7" t="str">
        <f>HYPERLINK("https://twitter.com/LatinoamericaEc","@LatinoamericaEc")</f>
        <v>@LatinoamericaEc</v>
      </c>
      <c r="C2032" s="8" t="s">
        <v>4698</v>
      </c>
      <c r="D2032" s="9" t="s">
        <v>4700</v>
      </c>
      <c r="E2032" s="10" t="str">
        <f>HYPERLINK("https://twitter.com/LatinoamericaEc/status/1065022630388994048","1065022630388994048")</f>
        <v>1065022630388994048</v>
      </c>
      <c r="F2032" s="14" t="s">
        <v>4701</v>
      </c>
      <c r="G2032" s="14" t="s">
        <v>4702</v>
      </c>
      <c r="H2032" s="11"/>
      <c r="I2032" s="12">
        <v>235</v>
      </c>
      <c r="J2032" s="12">
        <v>300</v>
      </c>
      <c r="K2032" s="13" t="str">
        <f t="shared" si="423"/>
        <v>Twitter for Android</v>
      </c>
      <c r="L2032" s="12">
        <v>8607</v>
      </c>
      <c r="M2032" s="12">
        <v>2464</v>
      </c>
      <c r="N2032" s="12">
        <v>37</v>
      </c>
      <c r="O2032" s="15"/>
      <c r="P2032" s="6">
        <v>40612.865902777776</v>
      </c>
      <c r="Q2032" s="16" t="s">
        <v>4705</v>
      </c>
      <c r="R2032" s="17" t="s">
        <v>4706</v>
      </c>
      <c r="S2032" s="11"/>
      <c r="T2032" s="11"/>
      <c r="U2032" s="10" t="str">
        <f>HYPERLINK("https://pbs.twimg.com/profile_images/850134064195653632/0PRAAgGo.jpg","View")</f>
        <v>View</v>
      </c>
    </row>
    <row r="2033" spans="1:21" ht="30.6">
      <c r="A2033" s="6">
        <v>43424.640081018515</v>
      </c>
      <c r="B2033" s="7" t="str">
        <f>HYPERLINK("https://twitter.com/AguasNeutrales","@AguasNeutrales")</f>
        <v>@AguasNeutrales</v>
      </c>
      <c r="C2033" s="8" t="s">
        <v>1901</v>
      </c>
      <c r="D2033" s="9" t="s">
        <v>7764</v>
      </c>
      <c r="E2033" s="10" t="str">
        <f>HYPERLINK("https://twitter.com/AguasNeutrales/status/1065022406123810821","1065022406123810821")</f>
        <v>1065022406123810821</v>
      </c>
      <c r="F2033" s="14" t="s">
        <v>7765</v>
      </c>
      <c r="G2033" s="14" t="s">
        <v>7766</v>
      </c>
      <c r="H2033" s="11"/>
      <c r="I2033" s="12">
        <v>0</v>
      </c>
      <c r="J2033" s="12">
        <v>0</v>
      </c>
      <c r="K2033" s="13" t="str">
        <f>HYPERLINK("http://twitter.com","Twitter Web Client")</f>
        <v>Twitter Web Client</v>
      </c>
      <c r="L2033" s="12">
        <v>841</v>
      </c>
      <c r="M2033" s="12">
        <v>2073</v>
      </c>
      <c r="N2033" s="12">
        <v>5</v>
      </c>
      <c r="O2033" s="15"/>
      <c r="P2033" s="6">
        <v>41801.927615740744</v>
      </c>
      <c r="Q2033" s="11"/>
      <c r="R2033" s="17" t="s">
        <v>1908</v>
      </c>
      <c r="S2033" s="11"/>
      <c r="T2033" s="11"/>
      <c r="U2033" s="10" t="str">
        <f>HYPERLINK("https://pbs.twimg.com/profile_images/1008462024282689536/Q3Z1dTgf.jpg","View")</f>
        <v>View</v>
      </c>
    </row>
    <row r="2034" spans="1:21" ht="40.799999999999997">
      <c r="A2034" s="6">
        <v>43424.638032407413</v>
      </c>
      <c r="B2034" s="7" t="str">
        <f>HYPERLINK("https://twitter.com/PdeSamos","@PdeSamos")</f>
        <v>@PdeSamos</v>
      </c>
      <c r="C2034" s="8" t="s">
        <v>3877</v>
      </c>
      <c r="D2034" s="9" t="s">
        <v>7767</v>
      </c>
      <c r="E2034" s="10" t="str">
        <f>HYPERLINK("https://twitter.com/PdeSamos/status/1065021665346756608","1065021665346756608")</f>
        <v>1065021665346756608</v>
      </c>
      <c r="F2034" s="11"/>
      <c r="G2034" s="11"/>
      <c r="H2034" s="11"/>
      <c r="I2034" s="12">
        <v>0</v>
      </c>
      <c r="J2034" s="12">
        <v>0</v>
      </c>
      <c r="K2034" s="13" t="str">
        <f>HYPERLINK("http://republico.ddns.net","App Libertad PdeSamos")</f>
        <v>App Libertad PdeSamos</v>
      </c>
      <c r="L2034" s="12">
        <v>5283</v>
      </c>
      <c r="M2034" s="12">
        <v>5301</v>
      </c>
      <c r="N2034" s="12">
        <v>12</v>
      </c>
      <c r="O2034" s="15"/>
      <c r="P2034" s="6">
        <v>42889.445567129631</v>
      </c>
      <c r="Q2034" s="16" t="s">
        <v>3881</v>
      </c>
      <c r="R2034" s="17" t="s">
        <v>3882</v>
      </c>
      <c r="S2034" s="11"/>
      <c r="T2034" s="11"/>
      <c r="U2034" s="10" t="str">
        <f>HYPERLINK("https://pbs.twimg.com/profile_images/871063742003511296/xK2IYbrO.jpg","View")</f>
        <v>View</v>
      </c>
    </row>
    <row r="2035" spans="1:21" ht="40.799999999999997">
      <c r="A2035" s="6">
        <v>43424.635324074072</v>
      </c>
      <c r="B2035" s="7" t="str">
        <f>HYPERLINK("https://twitter.com/elperiodico","@elperiodico")</f>
        <v>@elperiodico</v>
      </c>
      <c r="C2035" s="8" t="s">
        <v>4493</v>
      </c>
      <c r="D2035" s="9" t="s">
        <v>4707</v>
      </c>
      <c r="E2035" s="10" t="str">
        <f>HYPERLINK("https://twitter.com/elperiodico/status/1065020681295994883","1065020681295994883")</f>
        <v>1065020681295994883</v>
      </c>
      <c r="F2035" s="14" t="s">
        <v>4710</v>
      </c>
      <c r="G2035" s="11"/>
      <c r="H2035" s="11"/>
      <c r="I2035" s="12">
        <v>6</v>
      </c>
      <c r="J2035" s="12">
        <v>4</v>
      </c>
      <c r="K2035" s="13" t="str">
        <f>HYPERLINK("http://dogtrack.es","DogTrack_Oficial")</f>
        <v>DogTrack_Oficial</v>
      </c>
      <c r="L2035" s="12">
        <v>596516</v>
      </c>
      <c r="M2035" s="12">
        <v>18498</v>
      </c>
      <c r="N2035" s="12">
        <v>6925</v>
      </c>
      <c r="O2035" s="18" t="s">
        <v>52</v>
      </c>
      <c r="P2035" s="6">
        <v>40456.164560185185</v>
      </c>
      <c r="Q2035" s="16" t="s">
        <v>256</v>
      </c>
      <c r="R2035" s="17" t="s">
        <v>4499</v>
      </c>
      <c r="S2035" s="14" t="s">
        <v>4500</v>
      </c>
      <c r="T2035" s="11"/>
      <c r="U2035" s="10" t="str">
        <f>HYPERLINK("https://pbs.twimg.com/profile_images/876802324135653377/s4G6oS9o.jpg","View")</f>
        <v>View</v>
      </c>
    </row>
    <row r="2036" spans="1:21" ht="61.2">
      <c r="A2036" s="6">
        <v>43424.633217592593</v>
      </c>
      <c r="B2036" s="7" t="str">
        <f>HYPERLINK("https://twitter.com/AlvaroHerraiz","@AlvaroHerraiz")</f>
        <v>@AlvaroHerraiz</v>
      </c>
      <c r="C2036" s="8" t="s">
        <v>4711</v>
      </c>
      <c r="D2036" s="9" t="s">
        <v>4712</v>
      </c>
      <c r="E2036" s="10" t="str">
        <f>HYPERLINK("https://twitter.com/AlvaroHerraiz/status/1065019921053220864","1065019921053220864")</f>
        <v>1065019921053220864</v>
      </c>
      <c r="F2036" s="11"/>
      <c r="G2036" s="14" t="s">
        <v>4713</v>
      </c>
      <c r="H2036" s="11"/>
      <c r="I2036" s="12">
        <v>0</v>
      </c>
      <c r="J2036" s="12">
        <v>0</v>
      </c>
      <c r="K2036" s="13" t="str">
        <f t="shared" ref="K2036:K2037" si="424">HYPERLINK("http://twitter.com/download/android","Twitter for Android")</f>
        <v>Twitter for Android</v>
      </c>
      <c r="L2036" s="12">
        <v>117</v>
      </c>
      <c r="M2036" s="12">
        <v>619</v>
      </c>
      <c r="N2036" s="12">
        <v>0</v>
      </c>
      <c r="O2036" s="15"/>
      <c r="P2036" s="6">
        <v>42360.588506944448</v>
      </c>
      <c r="Q2036" s="16" t="s">
        <v>4715</v>
      </c>
      <c r="R2036" s="17" t="s">
        <v>4716</v>
      </c>
      <c r="S2036" s="11"/>
      <c r="T2036" s="11"/>
      <c r="U2036" s="10" t="str">
        <f>HYPERLINK("https://pbs.twimg.com/profile_images/679440237890764801/NrlsYBcO.jpg","View")</f>
        <v>View</v>
      </c>
    </row>
    <row r="2037" spans="1:21" ht="61.2">
      <c r="A2037" s="6">
        <v>43424.632604166662</v>
      </c>
      <c r="B2037" s="7" t="str">
        <f>HYPERLINK("https://twitter.com/SIRIUS64987301","@SIRIUS64987301")</f>
        <v>@SIRIUS64987301</v>
      </c>
      <c r="C2037" s="8" t="s">
        <v>4717</v>
      </c>
      <c r="D2037" s="9" t="s">
        <v>4718</v>
      </c>
      <c r="E2037" s="10" t="str">
        <f>HYPERLINK("https://twitter.com/SIRIUS64987301/status/1065019696469196801","1065019696469196801")</f>
        <v>1065019696469196801</v>
      </c>
      <c r="F2037" s="11"/>
      <c r="G2037" s="14" t="s">
        <v>4719</v>
      </c>
      <c r="H2037" s="11"/>
      <c r="I2037" s="12">
        <v>3</v>
      </c>
      <c r="J2037" s="12">
        <v>3</v>
      </c>
      <c r="K2037" s="13" t="str">
        <f t="shared" si="424"/>
        <v>Twitter for Android</v>
      </c>
      <c r="L2037" s="12">
        <v>503</v>
      </c>
      <c r="M2037" s="12">
        <v>377</v>
      </c>
      <c r="N2037" s="12">
        <v>1</v>
      </c>
      <c r="O2037" s="15"/>
      <c r="P2037" s="6">
        <v>43423.596574074079</v>
      </c>
      <c r="Q2037" s="11"/>
      <c r="R2037" s="17" t="s">
        <v>4720</v>
      </c>
      <c r="S2037" s="11"/>
      <c r="T2037" s="11"/>
      <c r="U2037" s="10" t="str">
        <f>HYPERLINK("https://pbs.twimg.com/profile_images/1065267969645785088/7ylOC9II.jpg","View")</f>
        <v>View</v>
      </c>
    </row>
    <row r="2038" spans="1:21" ht="30.6">
      <c r="A2038" s="6">
        <v>43424.62976851852</v>
      </c>
      <c r="B2038" s="7" t="str">
        <f>HYPERLINK("https://twitter.com/alvariitomlg","@alvariitomlg")</f>
        <v>@alvariitomlg</v>
      </c>
      <c r="C2038" s="8" t="s">
        <v>4721</v>
      </c>
      <c r="D2038" s="9" t="s">
        <v>4722</v>
      </c>
      <c r="E2038" s="10" t="str">
        <f>HYPERLINK("https://twitter.com/alvariitomlg/status/1065018667593854977","1065018667593854977")</f>
        <v>1065018667593854977</v>
      </c>
      <c r="F2038" s="11"/>
      <c r="G2038" s="11"/>
      <c r="H2038" s="11"/>
      <c r="I2038" s="12">
        <v>0</v>
      </c>
      <c r="J2038" s="12">
        <v>0</v>
      </c>
      <c r="K2038" s="13" t="str">
        <f>HYPERLINK("http://twitter.com/download/iphone","Twitter for iPhone")</f>
        <v>Twitter for iPhone</v>
      </c>
      <c r="L2038" s="12">
        <v>519</v>
      </c>
      <c r="M2038" s="12">
        <v>1039</v>
      </c>
      <c r="N2038" s="12">
        <v>7</v>
      </c>
      <c r="O2038" s="15"/>
      <c r="P2038" s="6">
        <v>40869.151446759257</v>
      </c>
      <c r="Q2038" s="11"/>
      <c r="R2038" s="17" t="s">
        <v>4723</v>
      </c>
      <c r="S2038" s="11"/>
      <c r="T2038" s="11"/>
      <c r="U2038" s="10" t="str">
        <f>HYPERLINK("https://pbs.twimg.com/profile_images/1035802093238579200/9dYeeRas.jpg","View")</f>
        <v>View</v>
      </c>
    </row>
    <row r="2039" spans="1:21" ht="51">
      <c r="A2039" s="6">
        <v>43424.622557870374</v>
      </c>
      <c r="B2039" s="7" t="str">
        <f t="shared" ref="B2039:B2040" si="425">HYPERLINK("https://twitter.com/esferinol","@esferinol")</f>
        <v>@esferinol</v>
      </c>
      <c r="C2039" s="8" t="s">
        <v>7768</v>
      </c>
      <c r="D2039" s="9" t="s">
        <v>7769</v>
      </c>
      <c r="E2039" s="10" t="str">
        <f>HYPERLINK("https://twitter.com/esferinol/status/1065016055234510853","1065016055234510853")</f>
        <v>1065016055234510853</v>
      </c>
      <c r="F2039" s="11"/>
      <c r="G2039" s="11"/>
      <c r="H2039" s="11"/>
      <c r="I2039" s="12">
        <v>0</v>
      </c>
      <c r="J2039" s="12">
        <v>0</v>
      </c>
      <c r="K2039" s="13" t="str">
        <f t="shared" ref="K2039:K2040" si="426">HYPERLINK("http://twitter.com","Twitter Web Client")</f>
        <v>Twitter Web Client</v>
      </c>
      <c r="L2039" s="12">
        <v>548</v>
      </c>
      <c r="M2039" s="12">
        <v>621</v>
      </c>
      <c r="N2039" s="12">
        <v>8</v>
      </c>
      <c r="O2039" s="15"/>
      <c r="P2039" s="6">
        <v>43280.216666666667</v>
      </c>
      <c r="Q2039" s="16" t="s">
        <v>7770</v>
      </c>
      <c r="R2039" s="17" t="s">
        <v>7771</v>
      </c>
      <c r="S2039" s="11"/>
      <c r="T2039" s="11"/>
      <c r="U2039" s="10" t="str">
        <f t="shared" ref="U2039:U2040" si="427">HYPERLINK("https://pbs.twimg.com/profile_images/1012672414029934593/qFfwI9Z7.jpg","View")</f>
        <v>View</v>
      </c>
    </row>
    <row r="2040" spans="1:21" ht="81.599999999999994">
      <c r="A2040" s="6">
        <v>43424.618067129632</v>
      </c>
      <c r="B2040" s="7" t="str">
        <f t="shared" si="425"/>
        <v>@esferinol</v>
      </c>
      <c r="C2040" s="8" t="s">
        <v>7768</v>
      </c>
      <c r="D2040" s="9" t="s">
        <v>7772</v>
      </c>
      <c r="E2040" s="10" t="str">
        <f>HYPERLINK("https://twitter.com/esferinol/status/1065014426762387456","1065014426762387456")</f>
        <v>1065014426762387456</v>
      </c>
      <c r="F2040" s="14" t="s">
        <v>7773</v>
      </c>
      <c r="G2040" s="11"/>
      <c r="H2040" s="11"/>
      <c r="I2040" s="12">
        <v>0</v>
      </c>
      <c r="J2040" s="12">
        <v>0</v>
      </c>
      <c r="K2040" s="13" t="str">
        <f t="shared" si="426"/>
        <v>Twitter Web Client</v>
      </c>
      <c r="L2040" s="12">
        <v>548</v>
      </c>
      <c r="M2040" s="12">
        <v>621</v>
      </c>
      <c r="N2040" s="12">
        <v>8</v>
      </c>
      <c r="O2040" s="15"/>
      <c r="P2040" s="6">
        <v>43280.216666666667</v>
      </c>
      <c r="Q2040" s="16" t="s">
        <v>7770</v>
      </c>
      <c r="R2040" s="17" t="s">
        <v>7771</v>
      </c>
      <c r="S2040" s="11"/>
      <c r="T2040" s="11"/>
      <c r="U2040" s="10" t="str">
        <f t="shared" si="427"/>
        <v>View</v>
      </c>
    </row>
    <row r="2041" spans="1:21" ht="13.2">
      <c r="A2041" s="6">
        <v>43424.617858796293</v>
      </c>
      <c r="B2041" s="7" t="str">
        <f>HYPERLINK("https://twitter.com/isuarme","@isuarme")</f>
        <v>@isuarme</v>
      </c>
      <c r="C2041" s="8" t="s">
        <v>7774</v>
      </c>
      <c r="D2041" s="9" t="s">
        <v>7775</v>
      </c>
      <c r="E2041" s="10" t="str">
        <f>HYPERLINK("https://twitter.com/isuarme/status/1065014352334544896","1065014352334544896")</f>
        <v>1065014352334544896</v>
      </c>
      <c r="F2041" s="14" t="s">
        <v>7776</v>
      </c>
      <c r="G2041" s="14" t="s">
        <v>7777</v>
      </c>
      <c r="H2041" s="11"/>
      <c r="I2041" s="12">
        <v>0</v>
      </c>
      <c r="J2041" s="12">
        <v>0</v>
      </c>
      <c r="K2041" s="13" t="str">
        <f t="shared" ref="K2041:K2042" si="428">HYPERLINK("http://twitter.com/download/iphone","Twitter for iPhone")</f>
        <v>Twitter for iPhone</v>
      </c>
      <c r="L2041" s="12">
        <v>248</v>
      </c>
      <c r="M2041" s="12">
        <v>1992</v>
      </c>
      <c r="N2041" s="12">
        <v>6</v>
      </c>
      <c r="O2041" s="15"/>
      <c r="P2041" s="6">
        <v>42117.543287037042</v>
      </c>
      <c r="Q2041" s="16" t="s">
        <v>7778</v>
      </c>
      <c r="R2041" s="17" t="s">
        <v>7779</v>
      </c>
      <c r="S2041" s="11"/>
      <c r="T2041" s="11"/>
      <c r="U2041" s="10" t="str">
        <f>HYPERLINK("https://pbs.twimg.com/profile_images/1051187063587000322/-_seQSjm.jpg","View")</f>
        <v>View</v>
      </c>
    </row>
    <row r="2042" spans="1:21" ht="40.799999999999997">
      <c r="A2042" s="6">
        <v>43424.611990740741</v>
      </c>
      <c r="B2042" s="7" t="str">
        <f>HYPERLINK("https://twitter.com/Zibelinam","@Zibelinam")</f>
        <v>@Zibelinam</v>
      </c>
      <c r="C2042" s="8" t="s">
        <v>7780</v>
      </c>
      <c r="D2042" s="9" t="s">
        <v>7781</v>
      </c>
      <c r="E2042" s="10" t="str">
        <f>HYPERLINK("https://twitter.com/Zibelinam/status/1065012228808683521","1065012228808683521")</f>
        <v>1065012228808683521</v>
      </c>
      <c r="F2042" s="14" t="s">
        <v>7059</v>
      </c>
      <c r="G2042" s="11"/>
      <c r="H2042" s="11"/>
      <c r="I2042" s="12">
        <v>0</v>
      </c>
      <c r="J2042" s="12">
        <v>0</v>
      </c>
      <c r="K2042" s="13" t="str">
        <f t="shared" si="428"/>
        <v>Twitter for iPhone</v>
      </c>
      <c r="L2042" s="12">
        <v>4089</v>
      </c>
      <c r="M2042" s="12">
        <v>4008</v>
      </c>
      <c r="N2042" s="12">
        <v>20</v>
      </c>
      <c r="O2042" s="15"/>
      <c r="P2042" s="6">
        <v>41405.27853009259</v>
      </c>
      <c r="Q2042" s="16" t="s">
        <v>7782</v>
      </c>
      <c r="R2042" s="17" t="s">
        <v>7783</v>
      </c>
      <c r="S2042" s="11"/>
      <c r="T2042" s="11"/>
      <c r="U2042" s="10" t="str">
        <f>HYPERLINK("https://pbs.twimg.com/profile_images/929426502416027649/07tvgMQf.jpg","View")</f>
        <v>View</v>
      </c>
    </row>
    <row r="2043" spans="1:21" ht="20.399999999999999">
      <c r="A2043" s="6">
        <v>43424.611886574072</v>
      </c>
      <c r="B2043" s="7" t="str">
        <f>HYPERLINK("https://twitter.com/memechanzy","@memechanzy")</f>
        <v>@memechanzy</v>
      </c>
      <c r="C2043" s="8" t="s">
        <v>7784</v>
      </c>
      <c r="D2043" s="9" t="s">
        <v>7785</v>
      </c>
      <c r="E2043" s="10" t="str">
        <f>HYPERLINK("https://twitter.com/memechanzy/status/1065012187801034753","1065012187801034753")</f>
        <v>1065012187801034753</v>
      </c>
      <c r="F2043" s="14" t="s">
        <v>7786</v>
      </c>
      <c r="G2043" s="14" t="s">
        <v>7787</v>
      </c>
      <c r="H2043" s="11"/>
      <c r="I2043" s="12">
        <v>0</v>
      </c>
      <c r="J2043" s="12">
        <v>0</v>
      </c>
      <c r="K2043" s="13" t="str">
        <f t="shared" ref="K2043:K2049" si="429">HYPERLINK("http://twitter.com/download/android","Twitter for Android")</f>
        <v>Twitter for Android</v>
      </c>
      <c r="L2043" s="12">
        <v>100</v>
      </c>
      <c r="M2043" s="12">
        <v>97</v>
      </c>
      <c r="N2043" s="12">
        <v>4</v>
      </c>
      <c r="O2043" s="15"/>
      <c r="P2043" s="6">
        <v>42601.68069444444</v>
      </c>
      <c r="Q2043" s="16" t="s">
        <v>7788</v>
      </c>
      <c r="R2043" s="17" t="s">
        <v>7789</v>
      </c>
      <c r="S2043" s="11"/>
      <c r="T2043" s="11"/>
      <c r="U2043" s="10" t="str">
        <f>HYPERLINK("https://pbs.twimg.com/profile_images/1056915240716263425/C3nO7yBs.jpg","View")</f>
        <v>View</v>
      </c>
    </row>
    <row r="2044" spans="1:21" ht="81.599999999999994">
      <c r="A2044" s="6">
        <v>43424.611331018517</v>
      </c>
      <c r="B2044" s="7" t="str">
        <f>HYPERLINK("https://twitter.com/Juan200363","@Juan200363")</f>
        <v>@Juan200363</v>
      </c>
      <c r="C2044" s="8" t="s">
        <v>1528</v>
      </c>
      <c r="D2044" s="9" t="s">
        <v>4725</v>
      </c>
      <c r="E2044" s="10" t="str">
        <f>HYPERLINK("https://twitter.com/Juan200363/status/1065011986596012034","1065011986596012034")</f>
        <v>1065011986596012034</v>
      </c>
      <c r="F2044" s="16" t="s">
        <v>1078</v>
      </c>
      <c r="G2044" s="11"/>
      <c r="H2044" s="11"/>
      <c r="I2044" s="12">
        <v>3</v>
      </c>
      <c r="J2044" s="12">
        <v>3</v>
      </c>
      <c r="K2044" s="13" t="str">
        <f t="shared" si="429"/>
        <v>Twitter for Android</v>
      </c>
      <c r="L2044" s="12">
        <v>2612</v>
      </c>
      <c r="M2044" s="12">
        <v>2270</v>
      </c>
      <c r="N2044" s="12">
        <v>4</v>
      </c>
      <c r="O2044" s="15"/>
      <c r="P2044" s="6">
        <v>40977.355636574073</v>
      </c>
      <c r="Q2044" s="16" t="s">
        <v>290</v>
      </c>
      <c r="R2044" s="17" t="s">
        <v>1532</v>
      </c>
      <c r="S2044" s="14" t="s">
        <v>1533</v>
      </c>
      <c r="T2044" s="11"/>
      <c r="U2044" s="10" t="str">
        <f>HYPERLINK("https://pbs.twimg.com/profile_images/1064554555772493824/mWOXwUwj.jpg","View")</f>
        <v>View</v>
      </c>
    </row>
    <row r="2045" spans="1:21" ht="91.8">
      <c r="A2045" s="6">
        <v>43424.610173611116</v>
      </c>
      <c r="B2045" s="7" t="str">
        <f>HYPERLINK("https://twitter.com/MSPE_CValencia","@MSPE_CValencia")</f>
        <v>@MSPE_CValencia</v>
      </c>
      <c r="C2045" s="8" t="s">
        <v>4688</v>
      </c>
      <c r="D2045" s="9" t="s">
        <v>4730</v>
      </c>
      <c r="E2045" s="10" t="str">
        <f>HYPERLINK("https://twitter.com/MSPE_CValencia/status/1065011566385512448","1065011566385512448")</f>
        <v>1065011566385512448</v>
      </c>
      <c r="F2045" s="14" t="s">
        <v>4732</v>
      </c>
      <c r="G2045" s="14" t="s">
        <v>4735</v>
      </c>
      <c r="H2045" s="11"/>
      <c r="I2045" s="12">
        <v>4</v>
      </c>
      <c r="J2045" s="12">
        <v>8</v>
      </c>
      <c r="K2045" s="13" t="str">
        <f t="shared" si="429"/>
        <v>Twitter for Android</v>
      </c>
      <c r="L2045" s="12">
        <v>96</v>
      </c>
      <c r="M2045" s="12">
        <v>82</v>
      </c>
      <c r="N2045" s="12">
        <v>0</v>
      </c>
      <c r="O2045" s="15"/>
      <c r="P2045" s="6">
        <v>43286.259652777779</v>
      </c>
      <c r="Q2045" s="16" t="s">
        <v>2839</v>
      </c>
      <c r="R2045" s="17" t="s">
        <v>4693</v>
      </c>
      <c r="S2045" s="14" t="s">
        <v>4694</v>
      </c>
      <c r="T2045" s="11"/>
      <c r="U2045" s="10" t="str">
        <f>HYPERLINK("https://pbs.twimg.com/profile_images/1037964847441477632/X3aiAaXi.jpg","View")</f>
        <v>View</v>
      </c>
    </row>
    <row r="2046" spans="1:21" ht="61.2">
      <c r="A2046" s="6">
        <v>43424.609560185185</v>
      </c>
      <c r="B2046" s="7" t="str">
        <f>HYPERLINK("https://twitter.com/JEPOcubanito","@JEPOcubanito")</f>
        <v>@JEPOcubanito</v>
      </c>
      <c r="C2046" s="8" t="s">
        <v>4736</v>
      </c>
      <c r="D2046" s="9" t="s">
        <v>4737</v>
      </c>
      <c r="E2046" s="10" t="str">
        <f>HYPERLINK("https://twitter.com/JEPOcubanito/status/1065011345115045888","1065011345115045888")</f>
        <v>1065011345115045888</v>
      </c>
      <c r="F2046" s="11"/>
      <c r="G2046" s="11"/>
      <c r="H2046" s="11"/>
      <c r="I2046" s="12">
        <v>1</v>
      </c>
      <c r="J2046" s="12">
        <v>2</v>
      </c>
      <c r="K2046" s="13" t="str">
        <f t="shared" si="429"/>
        <v>Twitter for Android</v>
      </c>
      <c r="L2046" s="12">
        <v>12</v>
      </c>
      <c r="M2046" s="12">
        <v>154</v>
      </c>
      <c r="N2046" s="12">
        <v>1</v>
      </c>
      <c r="O2046" s="15"/>
      <c r="P2046" s="6">
        <v>42326.31895833333</v>
      </c>
      <c r="Q2046" s="16" t="s">
        <v>4738</v>
      </c>
      <c r="R2046" s="17" t="s">
        <v>4739</v>
      </c>
      <c r="S2046" s="14" t="s">
        <v>4740</v>
      </c>
      <c r="T2046" s="11"/>
      <c r="U2046" s="10" t="str">
        <f>HYPERLINK("https://pbs.twimg.com/profile_images/1038514475010273281/ofhUim2M.jpg","View")</f>
        <v>View</v>
      </c>
    </row>
    <row r="2047" spans="1:21" ht="30.6">
      <c r="A2047" s="6">
        <v>43424.60628472222</v>
      </c>
      <c r="B2047" s="7" t="str">
        <f>HYPERLINK("https://twitter.com/aparici54","@aparici54")</f>
        <v>@aparici54</v>
      </c>
      <c r="C2047" s="8" t="s">
        <v>7790</v>
      </c>
      <c r="D2047" s="9" t="s">
        <v>7791</v>
      </c>
      <c r="E2047" s="10" t="str">
        <f>HYPERLINK("https://twitter.com/aparici54/status/1065010158126972930","1065010158126972930")</f>
        <v>1065010158126972930</v>
      </c>
      <c r="F2047" s="14" t="s">
        <v>1751</v>
      </c>
      <c r="G2047" s="14" t="s">
        <v>7792</v>
      </c>
      <c r="H2047" s="11"/>
      <c r="I2047" s="12">
        <v>1</v>
      </c>
      <c r="J2047" s="12">
        <v>0</v>
      </c>
      <c r="K2047" s="13" t="str">
        <f t="shared" si="429"/>
        <v>Twitter for Android</v>
      </c>
      <c r="L2047" s="12">
        <v>2833</v>
      </c>
      <c r="M2047" s="12">
        <v>1758</v>
      </c>
      <c r="N2047" s="12">
        <v>110</v>
      </c>
      <c r="O2047" s="15"/>
      <c r="P2047" s="6">
        <v>40893.144386574073</v>
      </c>
      <c r="Q2047" s="11"/>
      <c r="R2047" s="17" t="s">
        <v>7793</v>
      </c>
      <c r="S2047" s="14" t="s">
        <v>7794</v>
      </c>
      <c r="T2047" s="11"/>
      <c r="U2047" s="10" t="str">
        <f>HYPERLINK("https://pbs.twimg.com/profile_images/914751010073128960/o7vjoml_.jpg","View")</f>
        <v>View</v>
      </c>
    </row>
    <row r="2048" spans="1:21" ht="51">
      <c r="A2048" s="6">
        <v>43424.603333333333</v>
      </c>
      <c r="B2048" s="7" t="str">
        <f>HYPERLINK("https://twitter.com/unsuponedora","@unsuponedora")</f>
        <v>@unsuponedora</v>
      </c>
      <c r="C2048" s="8" t="s">
        <v>7795</v>
      </c>
      <c r="D2048" s="9" t="s">
        <v>7796</v>
      </c>
      <c r="E2048" s="10" t="str">
        <f>HYPERLINK("https://twitter.com/unsuponedora/status/1065009088474636294","1065009088474636294")</f>
        <v>1065009088474636294</v>
      </c>
      <c r="F2048" s="11"/>
      <c r="G2048" s="11"/>
      <c r="H2048" s="11"/>
      <c r="I2048" s="12">
        <v>13</v>
      </c>
      <c r="J2048" s="12">
        <v>13</v>
      </c>
      <c r="K2048" s="13" t="str">
        <f t="shared" si="429"/>
        <v>Twitter for Android</v>
      </c>
      <c r="L2048" s="12">
        <v>1441</v>
      </c>
      <c r="M2048" s="12">
        <v>1099</v>
      </c>
      <c r="N2048" s="12">
        <v>15</v>
      </c>
      <c r="O2048" s="15"/>
      <c r="P2048" s="6">
        <v>41509.591041666667</v>
      </c>
      <c r="Q2048" s="11"/>
      <c r="R2048" s="17" t="s">
        <v>7797</v>
      </c>
      <c r="S2048" s="11"/>
      <c r="T2048" s="11"/>
      <c r="U2048" s="10" t="str">
        <f>HYPERLINK("https://pbs.twimg.com/profile_images/1026551487655235585/lWGx5sS2.jpg","View")</f>
        <v>View</v>
      </c>
    </row>
    <row r="2049" spans="1:21" ht="71.400000000000006">
      <c r="A2049" s="6">
        <v>43424.602303240739</v>
      </c>
      <c r="B2049" s="7" t="str">
        <f>HYPERLINK("https://twitter.com/Machimen1","@Machimen1")</f>
        <v>@Machimen1</v>
      </c>
      <c r="C2049" s="8" t="s">
        <v>7798</v>
      </c>
      <c r="D2049" s="9" t="s">
        <v>7799</v>
      </c>
      <c r="E2049" s="10" t="str">
        <f>HYPERLINK("https://twitter.com/Machimen1/status/1065008714753679361","1065008714753679361")</f>
        <v>1065008714753679361</v>
      </c>
      <c r="F2049" s="16" t="s">
        <v>7800</v>
      </c>
      <c r="G2049" s="11"/>
      <c r="H2049" s="11"/>
      <c r="I2049" s="12">
        <v>1</v>
      </c>
      <c r="J2049" s="12">
        <v>3</v>
      </c>
      <c r="K2049" s="13" t="str">
        <f t="shared" si="429"/>
        <v>Twitter for Android</v>
      </c>
      <c r="L2049" s="12">
        <v>26</v>
      </c>
      <c r="M2049" s="12">
        <v>95</v>
      </c>
      <c r="N2049" s="12">
        <v>0</v>
      </c>
      <c r="O2049" s="15"/>
      <c r="P2049" s="6">
        <v>43331.334525462968</v>
      </c>
      <c r="Q2049" s="11"/>
      <c r="R2049" s="19"/>
      <c r="S2049" s="11"/>
      <c r="T2049" s="11"/>
      <c r="U2049" s="10" t="str">
        <f>HYPERLINK("https://pbs.twimg.com/profile_images/1031275596003848193/hzsSScJz.jpg","View")</f>
        <v>View</v>
      </c>
    </row>
    <row r="2050" spans="1:21" ht="81.599999999999994">
      <c r="A2050" s="6">
        <v>43424.601284722223</v>
      </c>
      <c r="B2050" s="7" t="str">
        <f>HYPERLINK("https://twitter.com/tetratraviesa","@tetratraviesa")</f>
        <v>@tetratraviesa</v>
      </c>
      <c r="C2050" s="8" t="s">
        <v>3783</v>
      </c>
      <c r="D2050" s="9" t="s">
        <v>4743</v>
      </c>
      <c r="E2050" s="10" t="str">
        <f>HYPERLINK("https://twitter.com/tetratraviesa/status/1065008346921689092","1065008346921689092")</f>
        <v>1065008346921689092</v>
      </c>
      <c r="F2050" s="14" t="s">
        <v>4744</v>
      </c>
      <c r="G2050" s="14" t="s">
        <v>4745</v>
      </c>
      <c r="H2050" s="11"/>
      <c r="I2050" s="12">
        <v>1</v>
      </c>
      <c r="J2050" s="12">
        <v>1</v>
      </c>
      <c r="K2050" s="13" t="str">
        <f>HYPERLINK("https://mobile.twitter.com","Twitter Lite")</f>
        <v>Twitter Lite</v>
      </c>
      <c r="L2050" s="12">
        <v>102</v>
      </c>
      <c r="M2050" s="12">
        <v>321</v>
      </c>
      <c r="N2050" s="12">
        <v>0</v>
      </c>
      <c r="O2050" s="15"/>
      <c r="P2050" s="6">
        <v>43186.356273148151</v>
      </c>
      <c r="Q2050" s="11"/>
      <c r="R2050" s="17" t="s">
        <v>3789</v>
      </c>
      <c r="S2050" s="11"/>
      <c r="T2050" s="11"/>
      <c r="U2050" s="10" t="str">
        <f>HYPERLINK("https://pbs.twimg.com/profile_images/1000959553247285248/Py4FSQoT.jpg","View")</f>
        <v>View</v>
      </c>
    </row>
    <row r="2051" spans="1:21" ht="51">
      <c r="A2051" s="6">
        <v>43424.598090277781</v>
      </c>
      <c r="B2051" s="7" t="str">
        <f>HYPERLINK("https://twitter.com/PPRubles","@PPRubles")</f>
        <v>@PPRubles</v>
      </c>
      <c r="C2051" s="8" t="s">
        <v>7801</v>
      </c>
      <c r="D2051" s="9" t="s">
        <v>7802</v>
      </c>
      <c r="E2051" s="10" t="str">
        <f>HYPERLINK("https://twitter.com/PPRubles/status/1065007189079875584","1065007189079875584")</f>
        <v>1065007189079875584</v>
      </c>
      <c r="F2051" s="11"/>
      <c r="G2051" s="11"/>
      <c r="H2051" s="11"/>
      <c r="I2051" s="12">
        <v>2</v>
      </c>
      <c r="J2051" s="12">
        <v>3</v>
      </c>
      <c r="K2051" s="13" t="str">
        <f>HYPERLINK("http://twitter.com","Twitter Web Client")</f>
        <v>Twitter Web Client</v>
      </c>
      <c r="L2051" s="12">
        <v>675</v>
      </c>
      <c r="M2051" s="12">
        <v>707</v>
      </c>
      <c r="N2051" s="12">
        <v>5</v>
      </c>
      <c r="O2051" s="15"/>
      <c r="P2051" s="6">
        <v>41147.646412037036</v>
      </c>
      <c r="Q2051" s="16" t="s">
        <v>7803</v>
      </c>
      <c r="R2051" s="17" t="s">
        <v>7804</v>
      </c>
      <c r="S2051" s="11"/>
      <c r="T2051" s="11"/>
      <c r="U2051" s="10" t="str">
        <f>HYPERLINK("https://pbs.twimg.com/profile_images/820922939067559936/bpbtfGde.jpg","View")</f>
        <v>View</v>
      </c>
    </row>
    <row r="2052" spans="1:21" ht="40.799999999999997">
      <c r="A2052" s="6">
        <v>43424.59375</v>
      </c>
      <c r="B2052" s="7" t="str">
        <f>HYPERLINK("https://twitter.com/VerdaderaIzqda","@VerdaderaIzqda")</f>
        <v>@VerdaderaIzqda</v>
      </c>
      <c r="C2052" s="8" t="s">
        <v>1238</v>
      </c>
      <c r="D2052" s="9" t="s">
        <v>7805</v>
      </c>
      <c r="E2052" s="10" t="str">
        <f>HYPERLINK("https://twitter.com/VerdaderaIzqda/status/1065005616228376576","1065005616228376576")</f>
        <v>1065005616228376576</v>
      </c>
      <c r="F2052" s="14" t="s">
        <v>1242</v>
      </c>
      <c r="G2052" s="11"/>
      <c r="H2052" s="11"/>
      <c r="I2052" s="12">
        <v>9</v>
      </c>
      <c r="J2052" s="12">
        <v>3</v>
      </c>
      <c r="K2052" s="13" t="str">
        <f>HYPERLINK("https://about.twitter.com/products/tweetdeck","TweetDeck")</f>
        <v>TweetDeck</v>
      </c>
      <c r="L2052" s="12">
        <v>37334</v>
      </c>
      <c r="M2052" s="12">
        <v>15826</v>
      </c>
      <c r="N2052" s="12">
        <v>284</v>
      </c>
      <c r="O2052" s="15"/>
      <c r="P2052" s="6">
        <v>40716.206192129626</v>
      </c>
      <c r="Q2052" s="16" t="s">
        <v>28</v>
      </c>
      <c r="R2052" s="17" t="s">
        <v>1243</v>
      </c>
      <c r="S2052" s="14" t="s">
        <v>1244</v>
      </c>
      <c r="T2052" s="11"/>
      <c r="U2052" s="10" t="str">
        <f>HYPERLINK("https://pbs.twimg.com/profile_images/1407748160/contra_el_comunismo.jpg","View")</f>
        <v>View</v>
      </c>
    </row>
    <row r="2053" spans="1:21" ht="20.399999999999999">
      <c r="A2053" s="6">
        <v>43424.591782407406</v>
      </c>
      <c r="B2053" s="7" t="str">
        <f>HYPERLINK("https://twitter.com/naxcat","@naxcat")</f>
        <v>@naxcat</v>
      </c>
      <c r="C2053" s="8" t="s">
        <v>7806</v>
      </c>
      <c r="D2053" s="9" t="s">
        <v>7807</v>
      </c>
      <c r="E2053" s="10" t="str">
        <f>HYPERLINK("https://twitter.com/naxcat/status/1065004903200903168","1065004903200903168")</f>
        <v>1065004903200903168</v>
      </c>
      <c r="F2053" s="14" t="s">
        <v>7808</v>
      </c>
      <c r="G2053" s="11"/>
      <c r="H2053" s="11"/>
      <c r="I2053" s="12">
        <v>0</v>
      </c>
      <c r="J2053" s="12">
        <v>0</v>
      </c>
      <c r="K2053" s="13" t="str">
        <f>HYPERLINK("http://twitter.com","Twitter Web Client")</f>
        <v>Twitter Web Client</v>
      </c>
      <c r="L2053" s="12">
        <v>366</v>
      </c>
      <c r="M2053" s="12">
        <v>1009</v>
      </c>
      <c r="N2053" s="12">
        <v>3</v>
      </c>
      <c r="O2053" s="15"/>
      <c r="P2053" s="6">
        <v>40583.544293981482</v>
      </c>
      <c r="Q2053" s="16" t="s">
        <v>7311</v>
      </c>
      <c r="R2053" s="17" t="s">
        <v>7809</v>
      </c>
      <c r="S2053" s="11"/>
      <c r="T2053" s="11"/>
      <c r="U2053" s="10" t="str">
        <f>HYPERLINK("https://pbs.twimg.com/profile_images/722560638996869120/XpPOAUGl.jpg","View")</f>
        <v>View</v>
      </c>
    </row>
    <row r="2054" spans="1:21" ht="40.799999999999997">
      <c r="A2054" s="6">
        <v>43424.589560185181</v>
      </c>
      <c r="B2054" s="7" t="str">
        <f>HYPERLINK("https://twitter.com/josegabriel467","@josegabriel467")</f>
        <v>@josegabriel467</v>
      </c>
      <c r="C2054" s="8" t="s">
        <v>7810</v>
      </c>
      <c r="D2054" s="9" t="s">
        <v>7811</v>
      </c>
      <c r="E2054" s="10" t="str">
        <f>HYPERLINK("https://twitter.com/josegabriel467/status/1065004097210863616","1065004097210863616")</f>
        <v>1065004097210863616</v>
      </c>
      <c r="F2054" s="14" t="s">
        <v>7812</v>
      </c>
      <c r="G2054" s="11"/>
      <c r="H2054" s="11"/>
      <c r="I2054" s="12">
        <v>0</v>
      </c>
      <c r="J2054" s="12">
        <v>0</v>
      </c>
      <c r="K2054" s="13" t="str">
        <f>HYPERLINK("http://www.facebook.com/twitter","Facebook")</f>
        <v>Facebook</v>
      </c>
      <c r="L2054" s="12">
        <v>1624</v>
      </c>
      <c r="M2054" s="12">
        <v>1609</v>
      </c>
      <c r="N2054" s="12">
        <v>23</v>
      </c>
      <c r="O2054" s="15"/>
      <c r="P2054" s="6">
        <v>40844.160150462965</v>
      </c>
      <c r="Q2054" s="16" t="s">
        <v>28</v>
      </c>
      <c r="R2054" s="17" t="s">
        <v>7813</v>
      </c>
      <c r="S2054" s="14" t="s">
        <v>7814</v>
      </c>
      <c r="T2054" s="11"/>
      <c r="U2054" s="10" t="str">
        <f>HYPERLINK("https://pbs.twimg.com/profile_images/864586721966436354/WwV_o0gL.jpg","View")</f>
        <v>View</v>
      </c>
    </row>
    <row r="2055" spans="1:21" ht="30.6">
      <c r="A2055" s="6">
        <v>43424.588182870371</v>
      </c>
      <c r="B2055" s="7" t="str">
        <f>HYPERLINK("https://twitter.com/afrvet","@afrvet")</f>
        <v>@afrvet</v>
      </c>
      <c r="C2055" s="8" t="s">
        <v>2850</v>
      </c>
      <c r="D2055" s="9" t="s">
        <v>7815</v>
      </c>
      <c r="E2055" s="10" t="str">
        <f>HYPERLINK("https://twitter.com/afrvet/status/1065003598034202626","1065003598034202626")</f>
        <v>1065003598034202626</v>
      </c>
      <c r="F2055" s="14" t="s">
        <v>7816</v>
      </c>
      <c r="G2055" s="11"/>
      <c r="H2055" s="11"/>
      <c r="I2055" s="12">
        <v>3</v>
      </c>
      <c r="J2055" s="12">
        <v>2</v>
      </c>
      <c r="K2055" s="13" t="str">
        <f>HYPERLINK("http://twitter.com","Twitter Web Client")</f>
        <v>Twitter Web Client</v>
      </c>
      <c r="L2055" s="12">
        <v>1967</v>
      </c>
      <c r="M2055" s="12">
        <v>1619</v>
      </c>
      <c r="N2055" s="12">
        <v>25</v>
      </c>
      <c r="O2055" s="15"/>
      <c r="P2055" s="6">
        <v>40000.165173611109</v>
      </c>
      <c r="Q2055" s="16" t="s">
        <v>2861</v>
      </c>
      <c r="R2055" s="19"/>
      <c r="S2055" s="11"/>
      <c r="T2055" s="11"/>
      <c r="U2055" s="10" t="str">
        <f>HYPERLINK("https://pbs.twimg.com/profile_images/929461322105925633/P_CtDrkl.jpg","View")</f>
        <v>View</v>
      </c>
    </row>
    <row r="2056" spans="1:21" ht="51">
      <c r="A2056" s="6">
        <v>43424.588113425925</v>
      </c>
      <c r="B2056" s="7" t="str">
        <f>HYPERLINK("https://twitter.com/ElSotomonte","@ElSotomonte")</f>
        <v>@ElSotomonte</v>
      </c>
      <c r="C2056" s="8" t="s">
        <v>4750</v>
      </c>
      <c r="D2056" s="9" t="s">
        <v>4751</v>
      </c>
      <c r="E2056" s="10" t="str">
        <f>HYPERLINK("https://twitter.com/ElSotomonte/status/1065003573782765569","1065003573782765569")</f>
        <v>1065003573782765569</v>
      </c>
      <c r="F2056" s="11"/>
      <c r="G2056" s="14" t="s">
        <v>4753</v>
      </c>
      <c r="H2056" s="11"/>
      <c r="I2056" s="12">
        <v>20</v>
      </c>
      <c r="J2056" s="12">
        <v>12</v>
      </c>
      <c r="K2056" s="13" t="str">
        <f>HYPERLINK("http://twitter.com/download/android","Twitter for Android")</f>
        <v>Twitter for Android</v>
      </c>
      <c r="L2056" s="12">
        <v>146</v>
      </c>
      <c r="M2056" s="12">
        <v>175</v>
      </c>
      <c r="N2056" s="12">
        <v>0</v>
      </c>
      <c r="O2056" s="15"/>
      <c r="P2056" s="6">
        <v>42571.369675925926</v>
      </c>
      <c r="Q2056" s="16" t="s">
        <v>4756</v>
      </c>
      <c r="R2056" s="17" t="s">
        <v>4757</v>
      </c>
      <c r="S2056" s="11"/>
      <c r="T2056" s="11"/>
      <c r="U2056" s="10" t="str">
        <f>HYPERLINK("https://pbs.twimg.com/profile_images/755795428185083905/OBG20Mrp.jpg","View")</f>
        <v>View</v>
      </c>
    </row>
    <row r="2057" spans="1:21" ht="30.6">
      <c r="A2057" s="6">
        <v>43424.58798611111</v>
      </c>
      <c r="B2057" s="7" t="str">
        <f>HYPERLINK("https://twitter.com/panterarosita1","@panterarosita1")</f>
        <v>@panterarosita1</v>
      </c>
      <c r="C2057" s="8" t="s">
        <v>7817</v>
      </c>
      <c r="D2057" s="9" t="s">
        <v>7818</v>
      </c>
      <c r="E2057" s="10" t="str">
        <f>HYPERLINK("https://twitter.com/panterarosita1/status/1065003527850856449","1065003527850856449")</f>
        <v>1065003527850856449</v>
      </c>
      <c r="F2057" s="11"/>
      <c r="G2057" s="11"/>
      <c r="H2057" s="11"/>
      <c r="I2057" s="12">
        <v>0</v>
      </c>
      <c r="J2057" s="12">
        <v>0</v>
      </c>
      <c r="K2057" s="13" t="str">
        <f>HYPERLINK("http://twitter.com/download/iphone","Twitter for iPhone")</f>
        <v>Twitter for iPhone</v>
      </c>
      <c r="L2057" s="12">
        <v>36</v>
      </c>
      <c r="M2057" s="12">
        <v>87</v>
      </c>
      <c r="N2057" s="12">
        <v>0</v>
      </c>
      <c r="O2057" s="15"/>
      <c r="P2057" s="6">
        <v>41437.386643518519</v>
      </c>
      <c r="Q2057" s="11"/>
      <c r="R2057" s="19"/>
      <c r="S2057" s="11"/>
      <c r="T2057" s="11"/>
      <c r="U2057" s="10" t="str">
        <f>HYPERLINK("https://pbs.twimg.com/profile_images/344513261569821023/c4e2547ee5202b1ebaf20b073344c58c.jpeg","View")</f>
        <v>View</v>
      </c>
    </row>
    <row r="2058" spans="1:21" ht="30.6">
      <c r="A2058" s="6">
        <v>43424.587731481486</v>
      </c>
      <c r="B2058" s="7" t="str">
        <f>HYPERLINK("https://twitter.com/l_millam","@l_millam")</f>
        <v>@l_millam</v>
      </c>
      <c r="C2058" s="8" t="s">
        <v>7819</v>
      </c>
      <c r="D2058" s="9" t="s">
        <v>7820</v>
      </c>
      <c r="E2058" s="10" t="str">
        <f>HYPERLINK("https://twitter.com/l_millam/status/1065003437274861569","1065003437274861569")</f>
        <v>1065003437274861569</v>
      </c>
      <c r="F2058" s="14" t="s">
        <v>6608</v>
      </c>
      <c r="G2058" s="11"/>
      <c r="H2058" s="11"/>
      <c r="I2058" s="12">
        <v>0</v>
      </c>
      <c r="J2058" s="12">
        <v>0</v>
      </c>
      <c r="K2058" s="13" t="str">
        <f t="shared" ref="K2058:K2060" si="430">HYPERLINK("http://twitter.com/download/android","Twitter for Android")</f>
        <v>Twitter for Android</v>
      </c>
      <c r="L2058" s="12">
        <v>1134</v>
      </c>
      <c r="M2058" s="12">
        <v>2077</v>
      </c>
      <c r="N2058" s="12">
        <v>3</v>
      </c>
      <c r="O2058" s="15"/>
      <c r="P2058" s="6">
        <v>42117.085150462968</v>
      </c>
      <c r="Q2058" s="11"/>
      <c r="R2058" s="17" t="s">
        <v>7821</v>
      </c>
      <c r="S2058" s="11"/>
      <c r="T2058" s="11"/>
      <c r="U2058" s="10" t="str">
        <f>HYPERLINK("https://pbs.twimg.com/profile_images/704054415393742848/RBV6l7Fw.jpg","View")</f>
        <v>View</v>
      </c>
    </row>
    <row r="2059" spans="1:21" ht="40.799999999999997">
      <c r="A2059" s="6">
        <v>43424.587175925924</v>
      </c>
      <c r="B2059" s="7" t="str">
        <f>HYPERLINK("https://twitter.com/inma_ben","@inma_ben")</f>
        <v>@inma_ben</v>
      </c>
      <c r="C2059" s="8" t="s">
        <v>7026</v>
      </c>
      <c r="D2059" s="9" t="s">
        <v>7822</v>
      </c>
      <c r="E2059" s="10" t="str">
        <f>HYPERLINK("https://twitter.com/inma_ben/status/1065003233251401729","1065003233251401729")</f>
        <v>1065003233251401729</v>
      </c>
      <c r="F2059" s="14" t="s">
        <v>2122</v>
      </c>
      <c r="G2059" s="11"/>
      <c r="H2059" s="11"/>
      <c r="I2059" s="12">
        <v>30</v>
      </c>
      <c r="J2059" s="12">
        <v>57</v>
      </c>
      <c r="K2059" s="13" t="str">
        <f t="shared" si="430"/>
        <v>Twitter for Android</v>
      </c>
      <c r="L2059" s="12">
        <v>5146</v>
      </c>
      <c r="M2059" s="12">
        <v>4544</v>
      </c>
      <c r="N2059" s="12">
        <v>22</v>
      </c>
      <c r="O2059" s="15"/>
      <c r="P2059" s="6">
        <v>40534.337546296294</v>
      </c>
      <c r="Q2059" s="11"/>
      <c r="R2059" s="17" t="s">
        <v>7028</v>
      </c>
      <c r="S2059" s="11"/>
      <c r="T2059" s="11"/>
      <c r="U2059" s="10" t="str">
        <f>HYPERLINK("https://pbs.twimg.com/profile_images/1039081249598369792/0Dg6Akmo.jpg","View")</f>
        <v>View</v>
      </c>
    </row>
    <row r="2060" spans="1:21" ht="20.399999999999999">
      <c r="A2060" s="6">
        <v>43424.586516203708</v>
      </c>
      <c r="B2060" s="7" t="str">
        <f>HYPERLINK("https://twitter.com/jamcanape","@jamcanape")</f>
        <v>@jamcanape</v>
      </c>
      <c r="C2060" s="8" t="s">
        <v>7823</v>
      </c>
      <c r="D2060" s="9" t="s">
        <v>7824</v>
      </c>
      <c r="E2060" s="10" t="str">
        <f>HYPERLINK("https://twitter.com/jamcanape/status/1065002995161751552","1065002995161751552")</f>
        <v>1065002995161751552</v>
      </c>
      <c r="F2060" s="14" t="s">
        <v>7825</v>
      </c>
      <c r="G2060" s="14" t="s">
        <v>7777</v>
      </c>
      <c r="H2060" s="11"/>
      <c r="I2060" s="12">
        <v>3</v>
      </c>
      <c r="J2060" s="12">
        <v>7</v>
      </c>
      <c r="K2060" s="13" t="str">
        <f t="shared" si="430"/>
        <v>Twitter for Android</v>
      </c>
      <c r="L2060" s="12">
        <v>7439</v>
      </c>
      <c r="M2060" s="12">
        <v>5059</v>
      </c>
      <c r="N2060" s="12">
        <v>84</v>
      </c>
      <c r="O2060" s="15"/>
      <c r="P2060" s="6">
        <v>40254.177916666667</v>
      </c>
      <c r="Q2060" s="16" t="s">
        <v>38</v>
      </c>
      <c r="R2060" s="17" t="s">
        <v>7826</v>
      </c>
      <c r="S2060" s="11"/>
      <c r="T2060" s="11"/>
      <c r="U2060" s="10" t="str">
        <f>HYPERLINK("https://pbs.twimg.com/profile_images/1039449376723222528/63VEB3T4.jpg","View")</f>
        <v>View</v>
      </c>
    </row>
    <row r="2061" spans="1:21" ht="71.400000000000006">
      <c r="A2061" s="6">
        <v>43424.585428240738</v>
      </c>
      <c r="B2061" s="7" t="str">
        <f>HYPERLINK("https://twitter.com/pablovfu","@pablovfu")</f>
        <v>@pablovfu</v>
      </c>
      <c r="C2061" s="8" t="s">
        <v>4758</v>
      </c>
      <c r="D2061" s="9" t="s">
        <v>4759</v>
      </c>
      <c r="E2061" s="10" t="str">
        <f>HYPERLINK("https://twitter.com/pablovfu/status/1065002599735324673","1065002599735324673")</f>
        <v>1065002599735324673</v>
      </c>
      <c r="F2061" s="14" t="s">
        <v>4760</v>
      </c>
      <c r="G2061" s="14" t="s">
        <v>4621</v>
      </c>
      <c r="H2061" s="11"/>
      <c r="I2061" s="12">
        <v>0</v>
      </c>
      <c r="J2061" s="12">
        <v>1</v>
      </c>
      <c r="K2061" s="13" t="str">
        <f>HYPERLINK("http://twitter.com/download/iphone","Twitter for iPhone")</f>
        <v>Twitter for iPhone</v>
      </c>
      <c r="L2061" s="12">
        <v>335</v>
      </c>
      <c r="M2061" s="12">
        <v>518</v>
      </c>
      <c r="N2061" s="12">
        <v>5</v>
      </c>
      <c r="O2061" s="15"/>
      <c r="P2061" s="6">
        <v>40737.674814814818</v>
      </c>
      <c r="Q2061" s="11"/>
      <c r="R2061" s="19"/>
      <c r="S2061" s="11"/>
      <c r="T2061" s="11"/>
      <c r="U2061" s="10" t="str">
        <f>HYPERLINK("https://pbs.twimg.com/profile_images/1549040682/98ok3JPL","View")</f>
        <v>View</v>
      </c>
    </row>
    <row r="2062" spans="1:21" ht="40.799999999999997">
      <c r="A2062" s="6">
        <v>43424.585173611107</v>
      </c>
      <c r="B2062" s="7" t="str">
        <f>HYPERLINK("https://twitter.com/rosamaria18btr","@rosamaria18btr")</f>
        <v>@rosamaria18btr</v>
      </c>
      <c r="C2062" s="8" t="s">
        <v>4761</v>
      </c>
      <c r="D2062" s="9" t="s">
        <v>4762</v>
      </c>
      <c r="E2062" s="10" t="str">
        <f>HYPERLINK("https://twitter.com/rosamaria18btr/status/1065002509201076224","1065002509201076224")</f>
        <v>1065002509201076224</v>
      </c>
      <c r="F2062" s="11"/>
      <c r="G2062" s="11"/>
      <c r="H2062" s="11"/>
      <c r="I2062" s="12">
        <v>7</v>
      </c>
      <c r="J2062" s="12">
        <v>12</v>
      </c>
      <c r="K2062" s="13" t="str">
        <f t="shared" ref="K2062:K2064" si="431">HYPERLINK("http://twitter.com/download/android","Twitter for Android")</f>
        <v>Twitter for Android</v>
      </c>
      <c r="L2062" s="12">
        <v>1986</v>
      </c>
      <c r="M2062" s="12">
        <v>2004</v>
      </c>
      <c r="N2062" s="12">
        <v>15</v>
      </c>
      <c r="O2062" s="15"/>
      <c r="P2062" s="6">
        <v>41434.331724537034</v>
      </c>
      <c r="Q2062" s="16" t="s">
        <v>4765</v>
      </c>
      <c r="R2062" s="19"/>
      <c r="S2062" s="11"/>
      <c r="T2062" s="11"/>
      <c r="U2062" s="10" t="str">
        <f>HYPERLINK("https://pbs.twimg.com/profile_images/972005691081637889/LtWxCVTY.jpg","View")</f>
        <v>View</v>
      </c>
    </row>
    <row r="2063" spans="1:21" ht="51">
      <c r="A2063" s="6">
        <v>43424.584016203706</v>
      </c>
      <c r="B2063" s="7" t="str">
        <f>HYPERLINK("https://twitter.com/johnwlondono","@johnwlondono")</f>
        <v>@johnwlondono</v>
      </c>
      <c r="C2063" s="8" t="s">
        <v>1307</v>
      </c>
      <c r="D2063" s="9" t="s">
        <v>4767</v>
      </c>
      <c r="E2063" s="10" t="str">
        <f>HYPERLINK("https://twitter.com/johnwlondono/status/1065002089733083138","1065002089733083138")</f>
        <v>1065002089733083138</v>
      </c>
      <c r="F2063" s="11"/>
      <c r="G2063" s="14" t="s">
        <v>4769</v>
      </c>
      <c r="H2063" s="11"/>
      <c r="I2063" s="12">
        <v>16</v>
      </c>
      <c r="J2063" s="12">
        <v>6</v>
      </c>
      <c r="K2063" s="13" t="str">
        <f t="shared" si="431"/>
        <v>Twitter for Android</v>
      </c>
      <c r="L2063" s="12">
        <v>60</v>
      </c>
      <c r="M2063" s="12">
        <v>154</v>
      </c>
      <c r="N2063" s="12">
        <v>0</v>
      </c>
      <c r="O2063" s="15"/>
      <c r="P2063" s="6">
        <v>43239.71094907407</v>
      </c>
      <c r="Q2063" s="11"/>
      <c r="R2063" s="19"/>
      <c r="S2063" s="11"/>
      <c r="T2063" s="11"/>
      <c r="U2063" s="10" t="str">
        <f>HYPERLINK("https://pbs.twimg.com/profile_images/1026600586949656577/I_U1gPWm.jpg","View")</f>
        <v>View</v>
      </c>
    </row>
    <row r="2064" spans="1:21" ht="30.6">
      <c r="A2064" s="6">
        <v>43424.58357638889</v>
      </c>
      <c r="B2064" s="7" t="str">
        <f>HYPERLINK("https://twitter.com/no_facha","@no_facha")</f>
        <v>@no_facha</v>
      </c>
      <c r="C2064" s="8" t="s">
        <v>7827</v>
      </c>
      <c r="D2064" s="9" t="s">
        <v>7828</v>
      </c>
      <c r="E2064" s="10" t="str">
        <f>HYPERLINK("https://twitter.com/no_facha/status/1065001928323674112","1065001928323674112")</f>
        <v>1065001928323674112</v>
      </c>
      <c r="F2064" s="14" t="s">
        <v>2122</v>
      </c>
      <c r="G2064" s="11"/>
      <c r="H2064" s="11"/>
      <c r="I2064" s="12">
        <v>2</v>
      </c>
      <c r="J2064" s="12">
        <v>2</v>
      </c>
      <c r="K2064" s="13" t="str">
        <f t="shared" si="431"/>
        <v>Twitter for Android</v>
      </c>
      <c r="L2064" s="12">
        <v>105</v>
      </c>
      <c r="M2064" s="12">
        <v>91</v>
      </c>
      <c r="N2064" s="12">
        <v>1</v>
      </c>
      <c r="O2064" s="15"/>
      <c r="P2064" s="6">
        <v>43397.614907407406</v>
      </c>
      <c r="Q2064" s="11"/>
      <c r="R2064" s="17" t="s">
        <v>7829</v>
      </c>
      <c r="S2064" s="11"/>
      <c r="T2064" s="11"/>
      <c r="U2064" s="10" t="str">
        <f>HYPERLINK("https://pbs.twimg.com/profile_images/1055214215588384770/e6FCyPKs.jpg","View")</f>
        <v>View</v>
      </c>
    </row>
    <row r="2065" spans="1:21" ht="40.799999999999997">
      <c r="A2065" s="6">
        <v>43424.580671296295</v>
      </c>
      <c r="B2065" s="7" t="str">
        <f>HYPERLINK("https://twitter.com/BrujulaOndaCero","@BrujulaOndaCero")</f>
        <v>@BrujulaOndaCero</v>
      </c>
      <c r="C2065" s="8" t="s">
        <v>4772</v>
      </c>
      <c r="D2065" s="9" t="s">
        <v>4773</v>
      </c>
      <c r="E2065" s="10" t="str">
        <f>HYPERLINK("https://twitter.com/BrujulaOndaCero/status/1065000876409057281","1065000876409057281")</f>
        <v>1065000876409057281</v>
      </c>
      <c r="F2065" s="11"/>
      <c r="G2065" s="14" t="s">
        <v>4774</v>
      </c>
      <c r="H2065" s="11"/>
      <c r="I2065" s="12">
        <v>1</v>
      </c>
      <c r="J2065" s="12">
        <v>4</v>
      </c>
      <c r="K2065" s="13" t="str">
        <f>HYPERLINK("http://twitter.com","Twitter Web Client")</f>
        <v>Twitter Web Client</v>
      </c>
      <c r="L2065" s="12">
        <v>87767</v>
      </c>
      <c r="M2065" s="12">
        <v>1162</v>
      </c>
      <c r="N2065" s="12">
        <v>1457</v>
      </c>
      <c r="O2065" s="18" t="s">
        <v>52</v>
      </c>
      <c r="P2065" s="6">
        <v>40557.080752314811</v>
      </c>
      <c r="Q2065" s="11"/>
      <c r="R2065" s="17" t="s">
        <v>4777</v>
      </c>
      <c r="S2065" s="14" t="s">
        <v>4779</v>
      </c>
      <c r="T2065" s="11"/>
      <c r="U2065" s="10" t="str">
        <f>HYPERLINK("https://pbs.twimg.com/profile_images/1217122255/perfil-tweet.jpg","View")</f>
        <v>View</v>
      </c>
    </row>
    <row r="2066" spans="1:21" ht="40.799999999999997">
      <c r="A2066" s="6">
        <v>43424.579386574071</v>
      </c>
      <c r="B2066" s="7" t="str">
        <f>HYPERLINK("https://twitter.com/johnwlondono","@johnwlondono")</f>
        <v>@johnwlondono</v>
      </c>
      <c r="C2066" s="8" t="s">
        <v>1307</v>
      </c>
      <c r="D2066" s="9" t="s">
        <v>4780</v>
      </c>
      <c r="E2066" s="10" t="str">
        <f>HYPERLINK("https://twitter.com/johnwlondono/status/1065000412871385088","1065000412871385088")</f>
        <v>1065000412871385088</v>
      </c>
      <c r="F2066" s="11"/>
      <c r="G2066" s="11"/>
      <c r="H2066" s="11"/>
      <c r="I2066" s="12">
        <v>20</v>
      </c>
      <c r="J2066" s="12">
        <v>11</v>
      </c>
      <c r="K2066" s="13" t="str">
        <f t="shared" ref="K2066:K2067" si="432">HYPERLINK("http://twitter.com/download/android","Twitter for Android")</f>
        <v>Twitter for Android</v>
      </c>
      <c r="L2066" s="12">
        <v>60</v>
      </c>
      <c r="M2066" s="12">
        <v>154</v>
      </c>
      <c r="N2066" s="12">
        <v>0</v>
      </c>
      <c r="O2066" s="15"/>
      <c r="P2066" s="6">
        <v>43239.71094907407</v>
      </c>
      <c r="Q2066" s="11"/>
      <c r="R2066" s="19"/>
      <c r="S2066" s="11"/>
      <c r="T2066" s="11"/>
      <c r="U2066" s="10" t="str">
        <f>HYPERLINK("https://pbs.twimg.com/profile_images/1026600586949656577/I_U1gPWm.jpg","View")</f>
        <v>View</v>
      </c>
    </row>
    <row r="2067" spans="1:21" ht="102">
      <c r="A2067" s="6">
        <v>43424.579270833332</v>
      </c>
      <c r="B2067" s="7" t="str">
        <f>HYPERLINK("https://twitter.com/ixatanae","@ixatanae")</f>
        <v>@ixatanae</v>
      </c>
      <c r="C2067" s="8" t="s">
        <v>4334</v>
      </c>
      <c r="D2067" s="9" t="s">
        <v>4784</v>
      </c>
      <c r="E2067" s="10" t="str">
        <f>HYPERLINK("https://twitter.com/ixatanae/status/1065000367497318402","1065000367497318402")</f>
        <v>1065000367497318402</v>
      </c>
      <c r="F2067" s="14" t="s">
        <v>4785</v>
      </c>
      <c r="G2067" s="14" t="s">
        <v>4786</v>
      </c>
      <c r="H2067" s="11"/>
      <c r="I2067" s="12">
        <v>0</v>
      </c>
      <c r="J2067" s="12">
        <v>0</v>
      </c>
      <c r="K2067" s="13" t="str">
        <f t="shared" si="432"/>
        <v>Twitter for Android</v>
      </c>
      <c r="L2067" s="12">
        <v>58</v>
      </c>
      <c r="M2067" s="12">
        <v>343</v>
      </c>
      <c r="N2067" s="12">
        <v>2</v>
      </c>
      <c r="O2067" s="15"/>
      <c r="P2067" s="6">
        <v>41563.681284722225</v>
      </c>
      <c r="Q2067" s="11"/>
      <c r="R2067" s="19"/>
      <c r="S2067" s="11"/>
      <c r="T2067" s="11"/>
      <c r="U2067" s="10" t="str">
        <f>HYPERLINK("https://pbs.twimg.com/profile_images/417726417515081728/-Z8-Six_.jpeg","View")</f>
        <v>View</v>
      </c>
    </row>
    <row r="2068" spans="1:21" ht="40.799999999999997">
      <c r="A2068" s="6">
        <v>43424.574374999997</v>
      </c>
      <c r="B2068" s="7" t="str">
        <f>HYPERLINK("https://twitter.com/Retiquio","@Retiquio")</f>
        <v>@Retiquio</v>
      </c>
      <c r="C2068" s="8" t="s">
        <v>7830</v>
      </c>
      <c r="D2068" s="9" t="s">
        <v>7831</v>
      </c>
      <c r="E2068" s="10" t="str">
        <f>HYPERLINK("https://twitter.com/Retiquio/status/1064998594443386883","1064998594443386883")</f>
        <v>1064998594443386883</v>
      </c>
      <c r="F2068" s="14" t="s">
        <v>7832</v>
      </c>
      <c r="G2068" s="11"/>
      <c r="H2068" s="11"/>
      <c r="I2068" s="12">
        <v>0</v>
      </c>
      <c r="J2068" s="12">
        <v>0</v>
      </c>
      <c r="K2068" s="13" t="str">
        <f>HYPERLINK("http://twitter.com","Twitter Web Client")</f>
        <v>Twitter Web Client</v>
      </c>
      <c r="L2068" s="12">
        <v>1284</v>
      </c>
      <c r="M2068" s="12">
        <v>1173</v>
      </c>
      <c r="N2068" s="12">
        <v>10</v>
      </c>
      <c r="O2068" s="15"/>
      <c r="P2068" s="6">
        <v>40841.49559027778</v>
      </c>
      <c r="Q2068" s="16" t="s">
        <v>28</v>
      </c>
      <c r="R2068" s="17" t="s">
        <v>7833</v>
      </c>
      <c r="S2068" s="11"/>
      <c r="T2068" s="11"/>
      <c r="U2068" s="10" t="str">
        <f>HYPERLINK("https://pbs.twimg.com/profile_images/608623841556992000/qINqY-_p.jpg","View")</f>
        <v>View</v>
      </c>
    </row>
    <row r="2069" spans="1:21" ht="81.599999999999994">
      <c r="A2069" s="6">
        <v>43424.572777777779</v>
      </c>
      <c r="B2069" s="7" t="str">
        <f>HYPERLINK("https://twitter.com/ixatanae","@ixatanae")</f>
        <v>@ixatanae</v>
      </c>
      <c r="C2069" s="8" t="s">
        <v>4334</v>
      </c>
      <c r="D2069" s="9" t="s">
        <v>4787</v>
      </c>
      <c r="E2069" s="10" t="str">
        <f>HYPERLINK("https://twitter.com/ixatanae/status/1064998015902060544","1064998015902060544")</f>
        <v>1064998015902060544</v>
      </c>
      <c r="F2069" s="16" t="s">
        <v>4789</v>
      </c>
      <c r="G2069" s="11"/>
      <c r="H2069" s="11"/>
      <c r="I2069" s="12">
        <v>0</v>
      </c>
      <c r="J2069" s="12">
        <v>0</v>
      </c>
      <c r="K2069" s="13" t="str">
        <f>HYPERLINK("http://twitter.com/download/android","Twitter for Android")</f>
        <v>Twitter for Android</v>
      </c>
      <c r="L2069" s="12">
        <v>58</v>
      </c>
      <c r="M2069" s="12">
        <v>343</v>
      </c>
      <c r="N2069" s="12">
        <v>2</v>
      </c>
      <c r="O2069" s="15"/>
      <c r="P2069" s="6">
        <v>41563.681284722225</v>
      </c>
      <c r="Q2069" s="11"/>
      <c r="R2069" s="19"/>
      <c r="S2069" s="11"/>
      <c r="T2069" s="11"/>
      <c r="U2069" s="10" t="str">
        <f>HYPERLINK("https://pbs.twimg.com/profile_images/417726417515081728/-Z8-Six_.jpeg","View")</f>
        <v>View</v>
      </c>
    </row>
    <row r="2070" spans="1:21" ht="61.2">
      <c r="A2070" s="6">
        <v>43424.571840277778</v>
      </c>
      <c r="B2070" s="7" t="str">
        <f>HYPERLINK("https://twitter.com/Radio_Sporting","@Radio_Sporting")</f>
        <v>@Radio_Sporting</v>
      </c>
      <c r="C2070" s="8" t="s">
        <v>884</v>
      </c>
      <c r="D2070" s="9" t="s">
        <v>3568</v>
      </c>
      <c r="E2070" s="10" t="str">
        <f>HYPERLINK("https://twitter.com/Radio_Sporting/status/1064997676561903617","1064997676561903617")</f>
        <v>1064997676561903617</v>
      </c>
      <c r="F2070" s="11"/>
      <c r="G2070" s="14" t="s">
        <v>7834</v>
      </c>
      <c r="H2070" s="11"/>
      <c r="I2070" s="12">
        <v>3</v>
      </c>
      <c r="J2070" s="12">
        <v>5</v>
      </c>
      <c r="K2070" s="13" t="str">
        <f>HYPERLINK("http://twitter.com","Twitter Web Client")</f>
        <v>Twitter Web Client</v>
      </c>
      <c r="L2070" s="12">
        <v>2244</v>
      </c>
      <c r="M2070" s="12">
        <v>1450</v>
      </c>
      <c r="N2070" s="12">
        <v>35</v>
      </c>
      <c r="O2070" s="15"/>
      <c r="P2070" s="6">
        <v>41810.058981481481</v>
      </c>
      <c r="Q2070" s="16" t="s">
        <v>891</v>
      </c>
      <c r="R2070" s="17" t="s">
        <v>892</v>
      </c>
      <c r="S2070" s="14" t="s">
        <v>893</v>
      </c>
      <c r="T2070" s="11"/>
      <c r="U2070" s="10" t="str">
        <f>HYPERLINK("https://pbs.twimg.com/profile_images/1046720125746008067/7_1_XRaL.jpg","View")</f>
        <v>View</v>
      </c>
    </row>
    <row r="2071" spans="1:21" ht="51">
      <c r="A2071" s="6">
        <v>43424.571030092593</v>
      </c>
      <c r="B2071" s="7" t="str">
        <f>HYPERLINK("https://twitter.com/PCamorrista","@PCamorrista")</f>
        <v>@PCamorrista</v>
      </c>
      <c r="C2071" s="8" t="s">
        <v>193</v>
      </c>
      <c r="D2071" s="9" t="s">
        <v>7835</v>
      </c>
      <c r="E2071" s="10" t="str">
        <f>HYPERLINK("https://twitter.com/PCamorrista/status/1064997382964895744","1064997382964895744")</f>
        <v>1064997382964895744</v>
      </c>
      <c r="F2071" s="11"/>
      <c r="G2071" s="14" t="s">
        <v>7836</v>
      </c>
      <c r="H2071" s="11"/>
      <c r="I2071" s="12">
        <v>75</v>
      </c>
      <c r="J2071" s="12">
        <v>91</v>
      </c>
      <c r="K2071" s="13" t="str">
        <f>HYPERLINK("http://twitter.com/download/iphone","Twitter for iPhone")</f>
        <v>Twitter for iPhone</v>
      </c>
      <c r="L2071" s="12">
        <v>1956</v>
      </c>
      <c r="M2071" s="12">
        <v>1977</v>
      </c>
      <c r="N2071" s="12">
        <v>10</v>
      </c>
      <c r="O2071" s="15"/>
      <c r="P2071" s="6">
        <v>43114.009884259256</v>
      </c>
      <c r="Q2071" s="16" t="s">
        <v>28</v>
      </c>
      <c r="R2071" s="17" t="s">
        <v>196</v>
      </c>
      <c r="S2071" s="14" t="s">
        <v>197</v>
      </c>
      <c r="T2071" s="11"/>
      <c r="U2071" s="10" t="str">
        <f>HYPERLINK("https://pbs.twimg.com/profile_images/952459031083397120/u6DBThkF.jpg","View")</f>
        <v>View</v>
      </c>
    </row>
    <row r="2072" spans="1:21" ht="81.599999999999994">
      <c r="A2072" s="6">
        <v>43424.570752314816</v>
      </c>
      <c r="B2072" s="7" t="str">
        <f>HYPERLINK("https://twitter.com/Juan200363","@Juan200363")</f>
        <v>@Juan200363</v>
      </c>
      <c r="C2072" s="8" t="s">
        <v>1528</v>
      </c>
      <c r="D2072" s="9" t="s">
        <v>4790</v>
      </c>
      <c r="E2072" s="10" t="str">
        <f>HYPERLINK("https://twitter.com/Juan200363/status/1064997282041524224","1064997282041524224")</f>
        <v>1064997282041524224</v>
      </c>
      <c r="F2072" s="14" t="s">
        <v>4792</v>
      </c>
      <c r="G2072" s="11"/>
      <c r="H2072" s="11"/>
      <c r="I2072" s="12">
        <v>0</v>
      </c>
      <c r="J2072" s="12">
        <v>0</v>
      </c>
      <c r="K2072" s="13" t="str">
        <f>HYPERLINK("http://twitter.com/download/android","Twitter for Android")</f>
        <v>Twitter for Android</v>
      </c>
      <c r="L2072" s="12">
        <v>2612</v>
      </c>
      <c r="M2072" s="12">
        <v>2270</v>
      </c>
      <c r="N2072" s="12">
        <v>4</v>
      </c>
      <c r="O2072" s="15"/>
      <c r="P2072" s="6">
        <v>40977.355636574073</v>
      </c>
      <c r="Q2072" s="16" t="s">
        <v>290</v>
      </c>
      <c r="R2072" s="17" t="s">
        <v>1532</v>
      </c>
      <c r="S2072" s="14" t="s">
        <v>1533</v>
      </c>
      <c r="T2072" s="11"/>
      <c r="U2072" s="10" t="str">
        <f>HYPERLINK("https://pbs.twimg.com/profile_images/1064554555772493824/mWOXwUwj.jpg","View")</f>
        <v>View</v>
      </c>
    </row>
    <row r="2073" spans="1:21" ht="40.799999999999997">
      <c r="A2073" s="6">
        <v>43424.569710648153</v>
      </c>
      <c r="B2073" s="7" t="str">
        <f>HYPERLINK("https://twitter.com/Peregrina7Bu","@Peregrina7Bu")</f>
        <v>@Peregrina7Bu</v>
      </c>
      <c r="C2073" s="8" t="s">
        <v>6692</v>
      </c>
      <c r="D2073" s="9" t="s">
        <v>7837</v>
      </c>
      <c r="E2073" s="10" t="str">
        <f>HYPERLINK("https://twitter.com/Peregrina7Bu/status/1064996905606885376","1064996905606885376")</f>
        <v>1064996905606885376</v>
      </c>
      <c r="F2073" s="14" t="s">
        <v>7838</v>
      </c>
      <c r="G2073" s="11"/>
      <c r="H2073" s="11"/>
      <c r="I2073" s="12">
        <v>0</v>
      </c>
      <c r="J2073" s="12">
        <v>0</v>
      </c>
      <c r="K2073" s="13" t="str">
        <f>HYPERLINK("http://twitter.com","Twitter Web Client")</f>
        <v>Twitter Web Client</v>
      </c>
      <c r="L2073" s="12">
        <v>126</v>
      </c>
      <c r="M2073" s="12">
        <v>296</v>
      </c>
      <c r="N2073" s="12">
        <v>16</v>
      </c>
      <c r="O2073" s="15"/>
      <c r="P2073" s="6">
        <v>42558.627175925925</v>
      </c>
      <c r="Q2073" s="11"/>
      <c r="R2073" s="17" t="s">
        <v>6695</v>
      </c>
      <c r="S2073" s="11"/>
      <c r="T2073" s="11"/>
      <c r="U2073" s="10" t="str">
        <f>HYPERLINK("https://pbs.twimg.com/profile_images/956673765663965184/onrgyj7Z.jpg","View")</f>
        <v>View</v>
      </c>
    </row>
    <row r="2074" spans="1:21" ht="51">
      <c r="A2074" s="6">
        <v>43424.569131944445</v>
      </c>
      <c r="B2074" s="7" t="str">
        <f>HYPERLINK("https://twitter.com/Olguislc","@Olguislc")</f>
        <v>@Olguislc</v>
      </c>
      <c r="C2074" s="8" t="s">
        <v>4797</v>
      </c>
      <c r="D2074" s="9" t="s">
        <v>4798</v>
      </c>
      <c r="E2074" s="10" t="str">
        <f>HYPERLINK("https://twitter.com/Olguislc/status/1064996696470503429","1064996696470503429")</f>
        <v>1064996696470503429</v>
      </c>
      <c r="F2074" s="11"/>
      <c r="G2074" s="14" t="s">
        <v>4802</v>
      </c>
      <c r="H2074" s="11"/>
      <c r="I2074" s="12">
        <v>14</v>
      </c>
      <c r="J2074" s="12">
        <v>4</v>
      </c>
      <c r="K2074" s="13" t="str">
        <f t="shared" ref="K2074:K2076" si="433">HYPERLINK("http://twitter.com/download/android","Twitter for Android")</f>
        <v>Twitter for Android</v>
      </c>
      <c r="L2074" s="12">
        <v>125</v>
      </c>
      <c r="M2074" s="12">
        <v>296</v>
      </c>
      <c r="N2074" s="12">
        <v>0</v>
      </c>
      <c r="O2074" s="15"/>
      <c r="P2074" s="6">
        <v>43240.042083333334</v>
      </c>
      <c r="Q2074" s="16" t="s">
        <v>439</v>
      </c>
      <c r="R2074" s="17" t="s">
        <v>4804</v>
      </c>
      <c r="S2074" s="14" t="s">
        <v>4805</v>
      </c>
      <c r="T2074" s="11"/>
      <c r="U2074" s="10" t="str">
        <f>HYPERLINK("https://pbs.twimg.com/profile_images/1035650810036846592/_LewPonV.jpg","View")</f>
        <v>View</v>
      </c>
    </row>
    <row r="2075" spans="1:21" ht="30.6">
      <c r="A2075" s="6">
        <v>43424.569097222222</v>
      </c>
      <c r="B2075" s="7" t="str">
        <f>HYPERLINK("https://twitter.com/EstrellaMonge1","@EstrellaMonge1")</f>
        <v>@EstrellaMonge1</v>
      </c>
      <c r="C2075" s="8" t="s">
        <v>7839</v>
      </c>
      <c r="D2075" s="9" t="s">
        <v>7840</v>
      </c>
      <c r="E2075" s="10" t="str">
        <f>HYPERLINK("https://twitter.com/EstrellaMonge1/status/1064996682352525312","1064996682352525312")</f>
        <v>1064996682352525312</v>
      </c>
      <c r="F2075" s="14" t="s">
        <v>7841</v>
      </c>
      <c r="G2075" s="11"/>
      <c r="H2075" s="11"/>
      <c r="I2075" s="12">
        <v>0</v>
      </c>
      <c r="J2075" s="12">
        <v>0</v>
      </c>
      <c r="K2075" s="13" t="str">
        <f t="shared" si="433"/>
        <v>Twitter for Android</v>
      </c>
      <c r="L2075" s="12">
        <v>1896</v>
      </c>
      <c r="M2075" s="12">
        <v>4991</v>
      </c>
      <c r="N2075" s="12">
        <v>111</v>
      </c>
      <c r="O2075" s="15"/>
      <c r="P2075" s="6">
        <v>40911.333993055552</v>
      </c>
      <c r="Q2075" s="16" t="s">
        <v>28</v>
      </c>
      <c r="R2075" s="17" t="s">
        <v>7842</v>
      </c>
      <c r="S2075" s="11"/>
      <c r="T2075" s="11"/>
      <c r="U2075" s="10" t="str">
        <f>HYPERLINK("https://pbs.twimg.com/profile_images/1062093513159049216/mAkXXRvX.jpg","View")</f>
        <v>View</v>
      </c>
    </row>
    <row r="2076" spans="1:21" ht="61.2">
      <c r="A2076" s="6">
        <v>43424.568726851852</v>
      </c>
      <c r="B2076" s="7" t="str">
        <f>HYPERLINK("https://twitter.com/JC_C_A","@JC_C_A")</f>
        <v>@JC_C_A</v>
      </c>
      <c r="C2076" s="8" t="s">
        <v>7843</v>
      </c>
      <c r="D2076" s="9" t="s">
        <v>7844</v>
      </c>
      <c r="E2076" s="10" t="str">
        <f>HYPERLINK("https://twitter.com/JC_C_A/status/1064996547702734848","1064996547702734848")</f>
        <v>1064996547702734848</v>
      </c>
      <c r="F2076" s="11"/>
      <c r="G2076" s="11"/>
      <c r="H2076" s="11"/>
      <c r="I2076" s="12">
        <v>1</v>
      </c>
      <c r="J2076" s="12">
        <v>2</v>
      </c>
      <c r="K2076" s="13" t="str">
        <f t="shared" si="433"/>
        <v>Twitter for Android</v>
      </c>
      <c r="L2076" s="12">
        <v>1491</v>
      </c>
      <c r="M2076" s="12">
        <v>1218</v>
      </c>
      <c r="N2076" s="12">
        <v>4</v>
      </c>
      <c r="O2076" s="15"/>
      <c r="P2076" s="6">
        <v>43055.56385416667</v>
      </c>
      <c r="Q2076" s="16" t="s">
        <v>7845</v>
      </c>
      <c r="R2076" s="17" t="s">
        <v>7846</v>
      </c>
      <c r="S2076" s="11"/>
      <c r="T2076" s="11"/>
      <c r="U2076" s="10" t="str">
        <f>HYPERLINK("https://pbs.twimg.com/profile_images/1029775179520647169/gj_YgLkP.jpg","View")</f>
        <v>View</v>
      </c>
    </row>
    <row r="2077" spans="1:21" ht="40.799999999999997">
      <c r="A2077" s="6">
        <v>43424.568541666667</v>
      </c>
      <c r="B2077" s="7" t="str">
        <f>HYPERLINK("https://twitter.com/NoPotemosNo","@NoPotemosNo")</f>
        <v>@NoPotemosNo</v>
      </c>
      <c r="C2077" s="8" t="s">
        <v>253</v>
      </c>
      <c r="D2077" s="9" t="s">
        <v>7847</v>
      </c>
      <c r="E2077" s="10" t="str">
        <f>HYPERLINK("https://twitter.com/NoPotemosNo/status/1064996479859707904","1064996479859707904")</f>
        <v>1064996479859707904</v>
      </c>
      <c r="F2077" s="14" t="s">
        <v>7059</v>
      </c>
      <c r="G2077" s="11"/>
      <c r="H2077" s="11"/>
      <c r="I2077" s="12">
        <v>0</v>
      </c>
      <c r="J2077" s="12">
        <v>0</v>
      </c>
      <c r="K2077" s="13" t="str">
        <f>HYPERLINK("http://twitter.com","Twitter Web Client")</f>
        <v>Twitter Web Client</v>
      </c>
      <c r="L2077" s="12">
        <v>148</v>
      </c>
      <c r="M2077" s="12">
        <v>12</v>
      </c>
      <c r="N2077" s="12">
        <v>3</v>
      </c>
      <c r="O2077" s="15"/>
      <c r="P2077" s="6">
        <v>42853.140023148153</v>
      </c>
      <c r="Q2077" s="11"/>
      <c r="R2077" s="17" t="s">
        <v>259</v>
      </c>
      <c r="S2077" s="11"/>
      <c r="T2077" s="11"/>
      <c r="U2077" s="10" t="str">
        <f>HYPERLINK("https://pbs.twimg.com/profile_images/857908903694262272/tXMyaWAJ.jpg","View")</f>
        <v>View</v>
      </c>
    </row>
    <row r="2078" spans="1:21" ht="20.399999999999999">
      <c r="A2078" s="6">
        <v>43424.565347222218</v>
      </c>
      <c r="B2078" s="7" t="str">
        <f>HYPERLINK("https://twitter.com/hopedsy","@hopedsy")</f>
        <v>@hopedsy</v>
      </c>
      <c r="C2078" s="8" t="s">
        <v>3416</v>
      </c>
      <c r="D2078" s="9" t="s">
        <v>7848</v>
      </c>
      <c r="E2078" s="10" t="str">
        <f>HYPERLINK("https://twitter.com/hopedsy/status/1064995324249468928","1064995324249468928")</f>
        <v>1064995324249468928</v>
      </c>
      <c r="F2078" s="14" t="s">
        <v>2122</v>
      </c>
      <c r="G2078" s="11"/>
      <c r="H2078" s="11"/>
      <c r="I2078" s="12">
        <v>0</v>
      </c>
      <c r="J2078" s="12">
        <v>0</v>
      </c>
      <c r="K2078" s="13" t="str">
        <f t="shared" ref="K2078:K2079" si="434">HYPERLINK("http://twitter.com/download/android","Twitter for Android")</f>
        <v>Twitter for Android</v>
      </c>
      <c r="L2078" s="12">
        <v>405</v>
      </c>
      <c r="M2078" s="12">
        <v>566</v>
      </c>
      <c r="N2078" s="12">
        <v>15</v>
      </c>
      <c r="O2078" s="15"/>
      <c r="P2078" s="6">
        <v>42568.12672453704</v>
      </c>
      <c r="Q2078" s="11"/>
      <c r="R2078" s="17" t="s">
        <v>3419</v>
      </c>
      <c r="S2078" s="11"/>
      <c r="T2078" s="11"/>
      <c r="U2078" s="10" t="str">
        <f>HYPERLINK("https://pbs.twimg.com/profile_images/814237291229147136/bJPBbvoq.jpg","View")</f>
        <v>View</v>
      </c>
    </row>
    <row r="2079" spans="1:21" ht="20.399999999999999">
      <c r="A2079" s="6">
        <v>43424.564467592594</v>
      </c>
      <c r="B2079" s="7" t="str">
        <f>HYPERLINK("https://twitter.com/Tunoeres29","@Tunoeres29")</f>
        <v>@Tunoeres29</v>
      </c>
      <c r="C2079" s="8" t="s">
        <v>7849</v>
      </c>
      <c r="D2079" s="9" t="s">
        <v>7850</v>
      </c>
      <c r="E2079" s="10" t="str">
        <f>HYPERLINK("https://twitter.com/Tunoeres29/status/1064995005482369024","1064995005482369024")</f>
        <v>1064995005482369024</v>
      </c>
      <c r="F2079" s="14" t="s">
        <v>7851</v>
      </c>
      <c r="G2079" s="11"/>
      <c r="H2079" s="11"/>
      <c r="I2079" s="12">
        <v>0</v>
      </c>
      <c r="J2079" s="12">
        <v>0</v>
      </c>
      <c r="K2079" s="13" t="str">
        <f t="shared" si="434"/>
        <v>Twitter for Android</v>
      </c>
      <c r="L2079" s="12">
        <v>118</v>
      </c>
      <c r="M2079" s="12">
        <v>838</v>
      </c>
      <c r="N2079" s="12">
        <v>10</v>
      </c>
      <c r="O2079" s="15"/>
      <c r="P2079" s="6">
        <v>42415.511076388888</v>
      </c>
      <c r="Q2079" s="11"/>
      <c r="R2079" s="17" t="s">
        <v>7852</v>
      </c>
      <c r="S2079" s="14" t="s">
        <v>7853</v>
      </c>
      <c r="T2079" s="11"/>
      <c r="U2079" s="10" t="str">
        <f>HYPERLINK("https://pbs.twimg.com/profile_images/1052219800326266880/WL53ILVt.jpg","View")</f>
        <v>View</v>
      </c>
    </row>
    <row r="2080" spans="1:21" ht="40.799999999999997">
      <c r="A2080" s="6">
        <v>43424.564120370371</v>
      </c>
      <c r="B2080" s="7" t="str">
        <f>HYPERLINK("https://twitter.com/PdeSamos","@PdeSamos")</f>
        <v>@PdeSamos</v>
      </c>
      <c r="C2080" s="8" t="s">
        <v>3877</v>
      </c>
      <c r="D2080" s="9" t="s">
        <v>7854</v>
      </c>
      <c r="E2080" s="10" t="str">
        <f>HYPERLINK("https://twitter.com/PdeSamos/status/1064994879292399616","1064994879292399616")</f>
        <v>1064994879292399616</v>
      </c>
      <c r="F2080" s="14" t="s">
        <v>7855</v>
      </c>
      <c r="G2080" s="11"/>
      <c r="H2080" s="11"/>
      <c r="I2080" s="12">
        <v>0</v>
      </c>
      <c r="J2080" s="12">
        <v>0</v>
      </c>
      <c r="K2080" s="13" t="str">
        <f>HYPERLINK("http://republico.ddns.net","App Libertad PdeSamos")</f>
        <v>App Libertad PdeSamos</v>
      </c>
      <c r="L2080" s="12">
        <v>5283</v>
      </c>
      <c r="M2080" s="12">
        <v>5301</v>
      </c>
      <c r="N2080" s="12">
        <v>12</v>
      </c>
      <c r="O2080" s="15"/>
      <c r="P2080" s="6">
        <v>42889.445567129631</v>
      </c>
      <c r="Q2080" s="16" t="s">
        <v>3881</v>
      </c>
      <c r="R2080" s="17" t="s">
        <v>3882</v>
      </c>
      <c r="S2080" s="11"/>
      <c r="T2080" s="11"/>
      <c r="U2080" s="10" t="str">
        <f>HYPERLINK("https://pbs.twimg.com/profile_images/871063742003511296/xK2IYbrO.jpg","View")</f>
        <v>View</v>
      </c>
    </row>
    <row r="2081" spans="1:21" ht="20.399999999999999">
      <c r="A2081" s="6">
        <v>43424.563263888893</v>
      </c>
      <c r="B2081" s="7" t="str">
        <f>HYPERLINK("https://twitter.com/aguilerapan","@aguilerapan")</f>
        <v>@aguilerapan</v>
      </c>
      <c r="C2081" s="8" t="s">
        <v>7856</v>
      </c>
      <c r="D2081" s="9" t="s">
        <v>6693</v>
      </c>
      <c r="E2081" s="10" t="str">
        <f>HYPERLINK("https://twitter.com/aguilerapan/status/1064994570381991943","1064994570381991943")</f>
        <v>1064994570381991943</v>
      </c>
      <c r="F2081" s="14" t="s">
        <v>6694</v>
      </c>
      <c r="G2081" s="11"/>
      <c r="H2081" s="11"/>
      <c r="I2081" s="12">
        <v>0</v>
      </c>
      <c r="J2081" s="12">
        <v>0</v>
      </c>
      <c r="K2081" s="13" t="str">
        <f t="shared" ref="K2081:K2082" si="435">HYPERLINK("http://twitter.com","Twitter Web Client")</f>
        <v>Twitter Web Client</v>
      </c>
      <c r="L2081" s="12">
        <v>4009</v>
      </c>
      <c r="M2081" s="12">
        <v>3321</v>
      </c>
      <c r="N2081" s="12">
        <v>248</v>
      </c>
      <c r="O2081" s="15"/>
      <c r="P2081" s="6">
        <v>40483.397638888891</v>
      </c>
      <c r="Q2081" s="16" t="s">
        <v>123</v>
      </c>
      <c r="R2081" s="19"/>
      <c r="S2081" s="14" t="s">
        <v>7857</v>
      </c>
      <c r="T2081" s="11"/>
      <c r="U2081" s="10" t="str">
        <f>HYPERLINK("https://pbs.twimg.com/profile_images/1028001263282208772/QqlqL0OO.jpg","View")</f>
        <v>View</v>
      </c>
    </row>
    <row r="2082" spans="1:21" ht="20.399999999999999">
      <c r="A2082" s="6">
        <v>43424.561354166668</v>
      </c>
      <c r="B2082" s="7" t="str">
        <f>HYPERLINK("https://twitter.com/3Domenech","@3Domenech")</f>
        <v>@3Domenech</v>
      </c>
      <c r="C2082" s="8" t="s">
        <v>7858</v>
      </c>
      <c r="D2082" s="9" t="s">
        <v>7859</v>
      </c>
      <c r="E2082" s="10" t="str">
        <f>HYPERLINK("https://twitter.com/3Domenech/status/1064993877982158851","1064993877982158851")</f>
        <v>1064993877982158851</v>
      </c>
      <c r="F2082" s="11"/>
      <c r="G2082" s="11"/>
      <c r="H2082" s="11"/>
      <c r="I2082" s="12">
        <v>0</v>
      </c>
      <c r="J2082" s="12">
        <v>0</v>
      </c>
      <c r="K2082" s="13" t="str">
        <f t="shared" si="435"/>
        <v>Twitter Web Client</v>
      </c>
      <c r="L2082" s="12">
        <v>89</v>
      </c>
      <c r="M2082" s="12">
        <v>234</v>
      </c>
      <c r="N2082" s="12">
        <v>0</v>
      </c>
      <c r="O2082" s="15"/>
      <c r="P2082" s="6">
        <v>40303.093043981484</v>
      </c>
      <c r="Q2082" s="11"/>
      <c r="R2082" s="17" t="s">
        <v>7860</v>
      </c>
      <c r="S2082" s="11"/>
      <c r="T2082" s="11"/>
      <c r="U2082" s="10" t="str">
        <f>HYPERLINK("https://pbs.twimg.com/profile_images/751009069092184064/sa1Kf-p3.jpg","View")</f>
        <v>View</v>
      </c>
    </row>
    <row r="2083" spans="1:21" ht="20.399999999999999">
      <c r="A2083" s="6">
        <v>43424.558240740742</v>
      </c>
      <c r="B2083" s="7" t="str">
        <f>HYPERLINK("https://twitter.com/pablobeni_","@pablobeni_")</f>
        <v>@pablobeni_</v>
      </c>
      <c r="C2083" s="8" t="s">
        <v>7861</v>
      </c>
      <c r="D2083" s="9" t="s">
        <v>7862</v>
      </c>
      <c r="E2083" s="10" t="str">
        <f>HYPERLINK("https://twitter.com/pablobeni_/status/1064992748296650752","1064992748296650752")</f>
        <v>1064992748296650752</v>
      </c>
      <c r="F2083" s="16" t="s">
        <v>7863</v>
      </c>
      <c r="G2083" s="11"/>
      <c r="H2083" s="11"/>
      <c r="I2083" s="12">
        <v>0</v>
      </c>
      <c r="J2083" s="12">
        <v>0</v>
      </c>
      <c r="K2083" s="13" t="str">
        <f>HYPERLINK("http://twitter.com/download/android","Twitter for Android")</f>
        <v>Twitter for Android</v>
      </c>
      <c r="L2083" s="12">
        <v>664</v>
      </c>
      <c r="M2083" s="12">
        <v>260</v>
      </c>
      <c r="N2083" s="12">
        <v>7</v>
      </c>
      <c r="O2083" s="15"/>
      <c r="P2083" s="6">
        <v>41328.598275462966</v>
      </c>
      <c r="Q2083" s="16" t="s">
        <v>7864</v>
      </c>
      <c r="R2083" s="17" t="s">
        <v>7865</v>
      </c>
      <c r="S2083" s="11"/>
      <c r="T2083" s="11"/>
      <c r="U2083" s="10" t="str">
        <f>HYPERLINK("https://pbs.twimg.com/profile_images/1058055454599843840/hVC4ysrD.jpg","View")</f>
        <v>View</v>
      </c>
    </row>
    <row r="2084" spans="1:21" ht="51">
      <c r="A2084" s="6">
        <v>43424.552083333328</v>
      </c>
      <c r="B2084" s="7" t="str">
        <f>HYPERLINK("https://twitter.com/CELAGeopolitica","@CELAGeopolitica")</f>
        <v>@CELAGeopolitica</v>
      </c>
      <c r="C2084" s="8" t="s">
        <v>411</v>
      </c>
      <c r="D2084" s="9" t="s">
        <v>4808</v>
      </c>
      <c r="E2084" s="10" t="str">
        <f>HYPERLINK("https://twitter.com/CELAGeopolitica/status/1064990516985634822","1064990516985634822")</f>
        <v>1064990516985634822</v>
      </c>
      <c r="F2084" s="14" t="s">
        <v>1960</v>
      </c>
      <c r="G2084" s="11"/>
      <c r="H2084" s="11"/>
      <c r="I2084" s="12">
        <v>14</v>
      </c>
      <c r="J2084" s="12">
        <v>11</v>
      </c>
      <c r="K2084" s="13" t="str">
        <f>HYPERLINK("https://about.twitter.com/products/tweetdeck","TweetDeck")</f>
        <v>TweetDeck</v>
      </c>
      <c r="L2084" s="12">
        <v>15538</v>
      </c>
      <c r="M2084" s="12">
        <v>1086</v>
      </c>
      <c r="N2084" s="12">
        <v>183</v>
      </c>
      <c r="O2084" s="15"/>
      <c r="P2084" s="6">
        <v>41605.630127314813</v>
      </c>
      <c r="Q2084" s="16" t="s">
        <v>417</v>
      </c>
      <c r="R2084" s="17" t="s">
        <v>418</v>
      </c>
      <c r="S2084" s="14" t="s">
        <v>419</v>
      </c>
      <c r="T2084" s="11"/>
      <c r="U2084" s="10" t="str">
        <f>HYPERLINK("https://pbs.twimg.com/profile_images/976829342016786432/by4xLGeC.jpg","View")</f>
        <v>View</v>
      </c>
    </row>
    <row r="2085" spans="1:21" ht="20.399999999999999">
      <c r="A2085" s="6">
        <v>43424.549421296295</v>
      </c>
      <c r="B2085" s="7" t="str">
        <f>HYPERLINK("https://twitter.com/Sercott29","@Sercott29")</f>
        <v>@Sercott29</v>
      </c>
      <c r="C2085" s="8" t="s">
        <v>7866</v>
      </c>
      <c r="D2085" s="9" t="s">
        <v>7867</v>
      </c>
      <c r="E2085" s="10" t="str">
        <f>HYPERLINK("https://twitter.com/Sercott29/status/1064989553252098050","1064989553252098050")</f>
        <v>1064989553252098050</v>
      </c>
      <c r="F2085" s="14" t="s">
        <v>7868</v>
      </c>
      <c r="G2085" s="11"/>
      <c r="H2085" s="11"/>
      <c r="I2085" s="12">
        <v>0</v>
      </c>
      <c r="J2085" s="12">
        <v>0</v>
      </c>
      <c r="K2085" s="13" t="str">
        <f>HYPERLINK("https://curiouscat.me","Curious Cat")</f>
        <v>Curious Cat</v>
      </c>
      <c r="L2085" s="12">
        <v>681</v>
      </c>
      <c r="M2085" s="12">
        <v>865</v>
      </c>
      <c r="N2085" s="12">
        <v>9</v>
      </c>
      <c r="O2085" s="15"/>
      <c r="P2085" s="6">
        <v>41049.412291666667</v>
      </c>
      <c r="Q2085" s="16" t="s">
        <v>28</v>
      </c>
      <c r="R2085" s="17" t="s">
        <v>7869</v>
      </c>
      <c r="S2085" s="14" t="s">
        <v>7870</v>
      </c>
      <c r="T2085" s="11"/>
      <c r="U2085" s="10" t="str">
        <f>HYPERLINK("https://pbs.twimg.com/profile_images/1010041034427060224/_AgFut8f.jpg","View")</f>
        <v>View</v>
      </c>
    </row>
    <row r="2086" spans="1:21" ht="40.799999999999997">
      <c r="A2086" s="6">
        <v>43424.541678240741</v>
      </c>
      <c r="B2086" s="7" t="str">
        <f>HYPERLINK("https://twitter.com/ahorapodemos","@ahorapodemos")</f>
        <v>@ahorapodemos</v>
      </c>
      <c r="C2086" s="8" t="s">
        <v>48</v>
      </c>
      <c r="D2086" s="9" t="s">
        <v>7871</v>
      </c>
      <c r="E2086" s="10" t="str">
        <f>HYPERLINK("https://twitter.com/ahorapodemos/status/1064986744964169728","1064986744964169728")</f>
        <v>1064986744964169728</v>
      </c>
      <c r="F2086" s="14" t="s">
        <v>7872</v>
      </c>
      <c r="G2086" s="11"/>
      <c r="H2086" s="11"/>
      <c r="I2086" s="12">
        <v>273</v>
      </c>
      <c r="J2086" s="12">
        <v>276</v>
      </c>
      <c r="K2086" s="13" t="str">
        <f>HYPERLINK("https://about.twitter.com/products/tweetdeck","TweetDeck")</f>
        <v>TweetDeck</v>
      </c>
      <c r="L2086" s="12">
        <v>1338987</v>
      </c>
      <c r="M2086" s="12">
        <v>1529</v>
      </c>
      <c r="N2086" s="12">
        <v>5654</v>
      </c>
      <c r="O2086" s="18" t="s">
        <v>52</v>
      </c>
      <c r="P2086" s="6">
        <v>41651.201979166668</v>
      </c>
      <c r="Q2086" s="16" t="s">
        <v>54</v>
      </c>
      <c r="R2086" s="17" t="s">
        <v>56</v>
      </c>
      <c r="S2086" s="14" t="s">
        <v>58</v>
      </c>
      <c r="T2086" s="11"/>
      <c r="U2086" s="10" t="str">
        <f>HYPERLINK("https://pbs.twimg.com/profile_images/1036536413548892160/J0K-j7cz.jpg","View")</f>
        <v>View</v>
      </c>
    </row>
    <row r="2087" spans="1:21" ht="40.799999999999997">
      <c r="A2087" s="6">
        <v>43424.54142361111</v>
      </c>
      <c r="B2087" s="7" t="str">
        <f>HYPERLINK("https://twitter.com/Rojillo2018","@Rojillo2018")</f>
        <v>@Rojillo2018</v>
      </c>
      <c r="C2087" s="8" t="s">
        <v>347</v>
      </c>
      <c r="D2087" s="9" t="s">
        <v>4813</v>
      </c>
      <c r="E2087" s="10" t="str">
        <f>HYPERLINK("https://twitter.com/Rojillo2018/status/1064986655587819520","1064986655587819520")</f>
        <v>1064986655587819520</v>
      </c>
      <c r="F2087" s="11"/>
      <c r="G2087" s="14" t="s">
        <v>4814</v>
      </c>
      <c r="H2087" s="11"/>
      <c r="I2087" s="12">
        <v>0</v>
      </c>
      <c r="J2087" s="12">
        <v>1</v>
      </c>
      <c r="K2087" s="13" t="str">
        <f>HYPERLINK("http://twitter.com","Twitter Web Client")</f>
        <v>Twitter Web Client</v>
      </c>
      <c r="L2087" s="12">
        <v>449</v>
      </c>
      <c r="M2087" s="12">
        <v>1034</v>
      </c>
      <c r="N2087" s="12">
        <v>1</v>
      </c>
      <c r="O2087" s="15"/>
      <c r="P2087" s="6">
        <v>43416.25675925926</v>
      </c>
      <c r="Q2087" s="16" t="s">
        <v>352</v>
      </c>
      <c r="R2087" s="17" t="s">
        <v>353</v>
      </c>
      <c r="S2087" s="11"/>
      <c r="T2087" s="11"/>
      <c r="U2087" s="10" t="str">
        <f>HYPERLINK("https://pbs.twimg.com/profile_images/1063905639091642369/tNutwQbh.jpg","View")</f>
        <v>View</v>
      </c>
    </row>
    <row r="2088" spans="1:21" ht="40.799999999999997">
      <c r="A2088" s="6">
        <v>43424.538599537038</v>
      </c>
      <c r="B2088" s="7" t="str">
        <f>HYPERLINK("https://twitter.com/Carlos_CotonG","@Carlos_CotonG")</f>
        <v>@Carlos_CotonG</v>
      </c>
      <c r="C2088" s="8" t="s">
        <v>7873</v>
      </c>
      <c r="D2088" s="9" t="s">
        <v>7874</v>
      </c>
      <c r="E2088" s="10" t="str">
        <f>HYPERLINK("https://twitter.com/Carlos_CotonG/status/1064985629958787072","1064985629958787072")</f>
        <v>1064985629958787072</v>
      </c>
      <c r="F2088" s="11"/>
      <c r="G2088" s="14" t="s">
        <v>7875</v>
      </c>
      <c r="H2088" s="11"/>
      <c r="I2088" s="12">
        <v>0</v>
      </c>
      <c r="J2088" s="12">
        <v>4</v>
      </c>
      <c r="K2088" s="13" t="str">
        <f>HYPERLINK("http://twitter.com/download/iphone","Twitter for iPhone")</f>
        <v>Twitter for iPhone</v>
      </c>
      <c r="L2088" s="12">
        <v>1834</v>
      </c>
      <c r="M2088" s="12">
        <v>3141</v>
      </c>
      <c r="N2088" s="12">
        <v>22</v>
      </c>
      <c r="O2088" s="15"/>
      <c r="P2088" s="6">
        <v>41930.149837962963</v>
      </c>
      <c r="Q2088" s="16" t="s">
        <v>7876</v>
      </c>
      <c r="R2088" s="17" t="s">
        <v>7877</v>
      </c>
      <c r="S2088" s="11"/>
      <c r="T2088" s="11"/>
      <c r="U2088" s="10" t="str">
        <f>HYPERLINK("https://pbs.twimg.com/profile_images/1050883057643859968/tLKHcQk9.jpg","View")</f>
        <v>View</v>
      </c>
    </row>
    <row r="2089" spans="1:21" ht="30.6">
      <c r="A2089" s="6">
        <v>43424.537638888884</v>
      </c>
      <c r="B2089" s="7" t="str">
        <f>HYPERLINK("https://twitter.com/Joffeca","@Joffeca")</f>
        <v>@Joffeca</v>
      </c>
      <c r="C2089" s="8" t="s">
        <v>7878</v>
      </c>
      <c r="D2089" s="9" t="s">
        <v>7879</v>
      </c>
      <c r="E2089" s="10" t="str">
        <f>HYPERLINK("https://twitter.com/Joffeca/status/1064985282783657989","1064985282783657989")</f>
        <v>1064985282783657989</v>
      </c>
      <c r="F2089" s="11"/>
      <c r="G2089" s="11"/>
      <c r="H2089" s="11"/>
      <c r="I2089" s="12">
        <v>0</v>
      </c>
      <c r="J2089" s="12">
        <v>1</v>
      </c>
      <c r="K2089" s="13" t="str">
        <f>HYPERLINK("http://twitter.com","Twitter Web Client")</f>
        <v>Twitter Web Client</v>
      </c>
      <c r="L2089" s="12">
        <v>964</v>
      </c>
      <c r="M2089" s="12">
        <v>814</v>
      </c>
      <c r="N2089" s="12">
        <v>10</v>
      </c>
      <c r="O2089" s="15"/>
      <c r="P2089" s="6">
        <v>41306.370046296295</v>
      </c>
      <c r="Q2089" s="16" t="s">
        <v>7880</v>
      </c>
      <c r="R2089" s="17" t="s">
        <v>7881</v>
      </c>
      <c r="S2089" s="11"/>
      <c r="T2089" s="11"/>
      <c r="U2089" s="10" t="str">
        <f>HYPERLINK("https://pbs.twimg.com/profile_images/814148167205785600/1kRzUxxW.jpg","View")</f>
        <v>View</v>
      </c>
    </row>
    <row r="2090" spans="1:21" ht="102">
      <c r="A2090" s="6">
        <v>43424.536840277782</v>
      </c>
      <c r="B2090" s="7" t="str">
        <f>HYPERLINK("https://twitter.com/donal_tramp_","@donal_tramp_")</f>
        <v>@donal_tramp_</v>
      </c>
      <c r="C2090" s="8" t="s">
        <v>3589</v>
      </c>
      <c r="D2090" s="9" t="s">
        <v>4815</v>
      </c>
      <c r="E2090" s="10" t="str">
        <f>HYPERLINK("https://twitter.com/donal_tramp_/status/1064984993586470914","1064984993586470914")</f>
        <v>1064984993586470914</v>
      </c>
      <c r="F2090" s="14" t="s">
        <v>3197</v>
      </c>
      <c r="G2090" s="14" t="s">
        <v>3198</v>
      </c>
      <c r="H2090" s="11"/>
      <c r="I2090" s="12">
        <v>0</v>
      </c>
      <c r="J2090" s="12">
        <v>0</v>
      </c>
      <c r="K2090" s="13" t="str">
        <f>HYPERLINK("http://twitter.com/download/iphone","Twitter for iPhone")</f>
        <v>Twitter for iPhone</v>
      </c>
      <c r="L2090" s="12">
        <v>456</v>
      </c>
      <c r="M2090" s="12">
        <v>221</v>
      </c>
      <c r="N2090" s="12">
        <v>3</v>
      </c>
      <c r="O2090" s="15"/>
      <c r="P2090" s="6">
        <v>42770.515405092592</v>
      </c>
      <c r="Q2090" s="16" t="s">
        <v>3592</v>
      </c>
      <c r="R2090" s="17" t="s">
        <v>3593</v>
      </c>
      <c r="S2090" s="11"/>
      <c r="T2090" s="11"/>
      <c r="U2090" s="10" t="str">
        <f>HYPERLINK("https://pbs.twimg.com/profile_images/828001447556087808/xhAMJCyI.jpg","View")</f>
        <v>View</v>
      </c>
    </row>
    <row r="2091" spans="1:21" ht="20.399999999999999">
      <c r="A2091" s="6">
        <v>43424.535856481481</v>
      </c>
      <c r="B2091" s="7" t="str">
        <f>HYPERLINK("https://twitter.com/GlezFeder","@GlezFeder")</f>
        <v>@GlezFeder</v>
      </c>
      <c r="C2091" s="8" t="s">
        <v>7882</v>
      </c>
      <c r="D2091" s="9" t="s">
        <v>7883</v>
      </c>
      <c r="E2091" s="10" t="str">
        <f>HYPERLINK("https://twitter.com/GlezFeder/status/1064984636277833730","1064984636277833730")</f>
        <v>1064984636277833730</v>
      </c>
      <c r="F2091" s="14" t="s">
        <v>7884</v>
      </c>
      <c r="G2091" s="11"/>
      <c r="H2091" s="11"/>
      <c r="I2091" s="12">
        <v>0</v>
      </c>
      <c r="J2091" s="12">
        <v>0</v>
      </c>
      <c r="K2091" s="13" t="str">
        <f t="shared" ref="K2091:K2092" si="436">HYPERLINK("http://twitter.com","Twitter Web Client")</f>
        <v>Twitter Web Client</v>
      </c>
      <c r="L2091" s="12">
        <v>208</v>
      </c>
      <c r="M2091" s="12">
        <v>262</v>
      </c>
      <c r="N2091" s="12">
        <v>2</v>
      </c>
      <c r="O2091" s="15"/>
      <c r="P2091" s="6">
        <v>43247.450613425928</v>
      </c>
      <c r="Q2091" s="16" t="s">
        <v>7885</v>
      </c>
      <c r="R2091" s="17" t="s">
        <v>7886</v>
      </c>
      <c r="S2091" s="11"/>
      <c r="T2091" s="11"/>
      <c r="U2091" s="10" t="str">
        <f>HYPERLINK("https://pbs.twimg.com/profile_images/1060247976700973056/3K9K-vjB.jpg","View")</f>
        <v>View</v>
      </c>
    </row>
    <row r="2092" spans="1:21" ht="30.6">
      <c r="A2092" s="6">
        <v>43424.535219907411</v>
      </c>
      <c r="B2092" s="7" t="str">
        <f>HYPERLINK("https://twitter.com/RafaHumildad","@RafaHumildad")</f>
        <v>@RafaHumildad</v>
      </c>
      <c r="C2092" s="8" t="s">
        <v>4821</v>
      </c>
      <c r="D2092" s="9" t="s">
        <v>4822</v>
      </c>
      <c r="E2092" s="10" t="str">
        <f>HYPERLINK("https://twitter.com/RafaHumildad/status/1064984407679909889","1064984407679909889")</f>
        <v>1064984407679909889</v>
      </c>
      <c r="F2092" s="11"/>
      <c r="G2092" s="11"/>
      <c r="H2092" s="11"/>
      <c r="I2092" s="12">
        <v>0</v>
      </c>
      <c r="J2092" s="12">
        <v>0</v>
      </c>
      <c r="K2092" s="13" t="str">
        <f t="shared" si="436"/>
        <v>Twitter Web Client</v>
      </c>
      <c r="L2092" s="12">
        <v>997</v>
      </c>
      <c r="M2092" s="12">
        <v>1149</v>
      </c>
      <c r="N2092" s="12">
        <v>15</v>
      </c>
      <c r="O2092" s="15"/>
      <c r="P2092" s="6">
        <v>40139.765729166669</v>
      </c>
      <c r="Q2092" s="11"/>
      <c r="R2092" s="17" t="s">
        <v>4825</v>
      </c>
      <c r="S2092" s="11"/>
      <c r="T2092" s="11"/>
      <c r="U2092" s="10" t="str">
        <f>HYPERLINK("https://pbs.twimg.com/profile_images/949426795161489411/C_pVNSMb.jpg","View")</f>
        <v>View</v>
      </c>
    </row>
    <row r="2093" spans="1:21" ht="51">
      <c r="A2093" s="6">
        <v>43424.534814814819</v>
      </c>
      <c r="B2093" s="7" t="str">
        <f>HYPERLINK("https://twitter.com/ANARUBEN","@ANARUBEN")</f>
        <v>@ANARUBEN</v>
      </c>
      <c r="C2093" s="8" t="s">
        <v>4826</v>
      </c>
      <c r="D2093" s="9" t="s">
        <v>4827</v>
      </c>
      <c r="E2093" s="10" t="str">
        <f>HYPERLINK("https://twitter.com/ANARUBEN/status/1064984258777894915","1064984258777894915")</f>
        <v>1064984258777894915</v>
      </c>
      <c r="F2093" s="11"/>
      <c r="G2093" s="14" t="s">
        <v>4828</v>
      </c>
      <c r="H2093" s="11"/>
      <c r="I2093" s="12">
        <v>61</v>
      </c>
      <c r="J2093" s="12">
        <v>46</v>
      </c>
      <c r="K2093" s="13" t="str">
        <f t="shared" ref="K2093:K2095" si="437">HYPERLINK("http://twitter.com/download/android","Twitter for Android")</f>
        <v>Twitter for Android</v>
      </c>
      <c r="L2093" s="12">
        <v>2998</v>
      </c>
      <c r="M2093" s="12">
        <v>1746</v>
      </c>
      <c r="N2093" s="12">
        <v>28</v>
      </c>
      <c r="O2093" s="15"/>
      <c r="P2093" s="6">
        <v>40273.550752314812</v>
      </c>
      <c r="Q2093" s="11"/>
      <c r="R2093" s="17" t="s">
        <v>4829</v>
      </c>
      <c r="S2093" s="11"/>
      <c r="T2093" s="11"/>
      <c r="U2093" s="10" t="str">
        <f>HYPERLINK("https://pbs.twimg.com/profile_images/1021754381673410561/z0UtHmQh.jpg","View")</f>
        <v>View</v>
      </c>
    </row>
    <row r="2094" spans="1:21" ht="71.400000000000006">
      <c r="A2094" s="6">
        <v>43424.532939814817</v>
      </c>
      <c r="B2094" s="7" t="str">
        <f>HYPERLINK("https://twitter.com/josaloalf","@josaloalf")</f>
        <v>@josaloalf</v>
      </c>
      <c r="C2094" s="8" t="s">
        <v>4830</v>
      </c>
      <c r="D2094" s="9" t="s">
        <v>4831</v>
      </c>
      <c r="E2094" s="10" t="str">
        <f>HYPERLINK("https://twitter.com/josaloalf/status/1064983578281484288","1064983578281484288")</f>
        <v>1064983578281484288</v>
      </c>
      <c r="F2094" s="14" t="s">
        <v>4832</v>
      </c>
      <c r="G2094" s="14" t="s">
        <v>4834</v>
      </c>
      <c r="H2094" s="11"/>
      <c r="I2094" s="12">
        <v>0</v>
      </c>
      <c r="J2094" s="12">
        <v>0</v>
      </c>
      <c r="K2094" s="13" t="str">
        <f t="shared" si="437"/>
        <v>Twitter for Android</v>
      </c>
      <c r="L2094" s="12">
        <v>60</v>
      </c>
      <c r="M2094" s="12">
        <v>126</v>
      </c>
      <c r="N2094" s="12">
        <v>1</v>
      </c>
      <c r="O2094" s="15"/>
      <c r="P2094" s="6">
        <v>41175.362766203703</v>
      </c>
      <c r="Q2094" s="11"/>
      <c r="R2094" s="19"/>
      <c r="S2094" s="11"/>
      <c r="T2094" s="11"/>
      <c r="U2094" s="10" t="str">
        <f>HYPERLINK("https://pbs.twimg.com/profile_images/2641654363/e5a707b806547cc05d6ba6b89cc7e658.png","View")</f>
        <v>View</v>
      </c>
    </row>
    <row r="2095" spans="1:21" ht="51">
      <c r="A2095" s="6">
        <v>43424.53197916667</v>
      </c>
      <c r="B2095" s="7" t="str">
        <f>HYPERLINK("https://twitter.com/lunadebenidorm","@lunadebenidorm")</f>
        <v>@lunadebenidorm</v>
      </c>
      <c r="C2095" s="8" t="s">
        <v>7887</v>
      </c>
      <c r="D2095" s="9" t="s">
        <v>7888</v>
      </c>
      <c r="E2095" s="10" t="str">
        <f>HYPERLINK("https://twitter.com/lunadebenidorm/status/1064983230774951937","1064983230774951937")</f>
        <v>1064983230774951937</v>
      </c>
      <c r="F2095" s="14" t="s">
        <v>7889</v>
      </c>
      <c r="G2095" s="11"/>
      <c r="H2095" s="11"/>
      <c r="I2095" s="12">
        <v>0</v>
      </c>
      <c r="J2095" s="12">
        <v>0</v>
      </c>
      <c r="K2095" s="13" t="str">
        <f t="shared" si="437"/>
        <v>Twitter for Android</v>
      </c>
      <c r="L2095" s="12">
        <v>3991</v>
      </c>
      <c r="M2095" s="12">
        <v>3978</v>
      </c>
      <c r="N2095" s="12">
        <v>79</v>
      </c>
      <c r="O2095" s="15"/>
      <c r="P2095" s="6">
        <v>41461.43686342593</v>
      </c>
      <c r="Q2095" s="11"/>
      <c r="R2095" s="17" t="s">
        <v>7890</v>
      </c>
      <c r="S2095" s="11"/>
      <c r="T2095" s="11"/>
      <c r="U2095" s="10" t="str">
        <f>HYPERLINK("https://pbs.twimg.com/profile_images/1061229593758257153/rePCQt08.jpg","View")</f>
        <v>View</v>
      </c>
    </row>
    <row r="2096" spans="1:21" ht="112.2">
      <c r="A2096" s="6">
        <v>43424.531759259262</v>
      </c>
      <c r="B2096" s="7" t="str">
        <f>HYPERLINK("https://twitter.com/Cleiva50","@Cleiva50")</f>
        <v>@Cleiva50</v>
      </c>
      <c r="C2096" s="8" t="s">
        <v>4839</v>
      </c>
      <c r="D2096" s="9" t="s">
        <v>4840</v>
      </c>
      <c r="E2096" s="10" t="str">
        <f>HYPERLINK("https://twitter.com/Cleiva50/status/1064983152945442816","1064983152945442816")</f>
        <v>1064983152945442816</v>
      </c>
      <c r="F2096" s="14" t="s">
        <v>4841</v>
      </c>
      <c r="G2096" s="11"/>
      <c r="H2096" s="11"/>
      <c r="I2096" s="12">
        <v>0</v>
      </c>
      <c r="J2096" s="12">
        <v>1</v>
      </c>
      <c r="K2096" s="13" t="str">
        <f>HYPERLINK("http://twitter.com/download/iphone","Twitter for iPhone")</f>
        <v>Twitter for iPhone</v>
      </c>
      <c r="L2096" s="12">
        <v>180</v>
      </c>
      <c r="M2096" s="12">
        <v>442</v>
      </c>
      <c r="N2096" s="12">
        <v>1</v>
      </c>
      <c r="O2096" s="15"/>
      <c r="P2096" s="6">
        <v>39989.608946759261</v>
      </c>
      <c r="Q2096" s="16" t="s">
        <v>4845</v>
      </c>
      <c r="R2096" s="17" t="s">
        <v>4846</v>
      </c>
      <c r="S2096" s="11"/>
      <c r="T2096" s="11"/>
      <c r="U2096" s="10" t="str">
        <f>HYPERLINK("https://pbs.twimg.com/profile_images/893634441318473729/pqYSpH1C.jpg","View")</f>
        <v>View</v>
      </c>
    </row>
    <row r="2097" spans="1:21" ht="40.799999999999997">
      <c r="A2097" s="6">
        <v>43424.531701388885</v>
      </c>
      <c r="B2097" s="7" t="str">
        <f>HYPERLINK("https://twitter.com/fritoxjugar","@fritoxjugar")</f>
        <v>@fritoxjugar</v>
      </c>
      <c r="C2097" s="8" t="s">
        <v>7891</v>
      </c>
      <c r="D2097" s="9" t="s">
        <v>7121</v>
      </c>
      <c r="E2097" s="10" t="str">
        <f>HYPERLINK("https://twitter.com/fritoxjugar/status/1064983131638456320","1064983131638456320")</f>
        <v>1064983131638456320</v>
      </c>
      <c r="F2097" s="14" t="s">
        <v>5336</v>
      </c>
      <c r="G2097" s="11"/>
      <c r="H2097" s="11"/>
      <c r="I2097" s="12">
        <v>0</v>
      </c>
      <c r="J2097" s="12">
        <v>0</v>
      </c>
      <c r="K2097" s="13" t="str">
        <f>HYPERLINK("http://twitter.com","Twitter Web Client")</f>
        <v>Twitter Web Client</v>
      </c>
      <c r="L2097" s="12">
        <v>84</v>
      </c>
      <c r="M2097" s="12">
        <v>1877</v>
      </c>
      <c r="N2097" s="12">
        <v>5</v>
      </c>
      <c r="O2097" s="15"/>
      <c r="P2097" s="6">
        <v>41540.221643518518</v>
      </c>
      <c r="Q2097" s="16" t="s">
        <v>28</v>
      </c>
      <c r="R2097" s="17" t="s">
        <v>7892</v>
      </c>
      <c r="S2097" s="14" t="s">
        <v>7893</v>
      </c>
      <c r="T2097" s="11"/>
      <c r="U2097" s="10" t="str">
        <f>HYPERLINK("https://pbs.twimg.com/profile_images/436881262096044034/IMN1uKVn.jpeg","View")</f>
        <v>View</v>
      </c>
    </row>
    <row r="2098" spans="1:21" ht="102">
      <c r="A2098" s="6">
        <v>43424.531550925924</v>
      </c>
      <c r="B2098" s="7" t="str">
        <f>HYPERLINK("https://twitter.com/valorysensatez","@valorysensatez")</f>
        <v>@valorysensatez</v>
      </c>
      <c r="C2098" s="8" t="s">
        <v>4848</v>
      </c>
      <c r="D2098" s="9" t="s">
        <v>4850</v>
      </c>
      <c r="E2098" s="10" t="str">
        <f>HYPERLINK("https://twitter.com/valorysensatez/status/1064983075225051136","1064983075225051136")</f>
        <v>1064983075225051136</v>
      </c>
      <c r="F2098" s="14" t="s">
        <v>4852</v>
      </c>
      <c r="G2098" s="14" t="s">
        <v>4853</v>
      </c>
      <c r="H2098" s="11"/>
      <c r="I2098" s="12">
        <v>0</v>
      </c>
      <c r="J2098" s="12">
        <v>1</v>
      </c>
      <c r="K2098" s="13" t="str">
        <f>HYPERLINK("http://twitter.com/download/android","Twitter for Android")</f>
        <v>Twitter for Android</v>
      </c>
      <c r="L2098" s="12">
        <v>1559</v>
      </c>
      <c r="M2098" s="12">
        <v>1602</v>
      </c>
      <c r="N2098" s="12">
        <v>1</v>
      </c>
      <c r="O2098" s="15"/>
      <c r="P2098" s="6">
        <v>42610.175289351857</v>
      </c>
      <c r="Q2098" s="16" t="s">
        <v>87</v>
      </c>
      <c r="R2098" s="17" t="s">
        <v>4854</v>
      </c>
      <c r="S2098" s="11"/>
      <c r="T2098" s="11"/>
      <c r="U2098" s="10" t="str">
        <f>HYPERLINK("https://pbs.twimg.com/profile_images/1064984705450328064/nCl_epKJ.jpg","View")</f>
        <v>View</v>
      </c>
    </row>
    <row r="2099" spans="1:21" ht="30.6">
      <c r="A2099" s="6">
        <v>43424.530023148152</v>
      </c>
      <c r="B2099" s="7" t="str">
        <f>HYPERLINK("https://twitter.com/asparuh7","@asparuh7")</f>
        <v>@asparuh7</v>
      </c>
      <c r="C2099" s="8" t="s">
        <v>7894</v>
      </c>
      <c r="D2099" s="9" t="s">
        <v>7895</v>
      </c>
      <c r="E2099" s="10" t="str">
        <f>HYPERLINK("https://twitter.com/asparuh7/status/1064982523837628416","1064982523837628416")</f>
        <v>1064982523837628416</v>
      </c>
      <c r="F2099" s="14" t="s">
        <v>6622</v>
      </c>
      <c r="G2099" s="11"/>
      <c r="H2099" s="11"/>
      <c r="I2099" s="12">
        <v>0</v>
      </c>
      <c r="J2099" s="12">
        <v>0</v>
      </c>
      <c r="K2099" s="13" t="str">
        <f>HYPERLINK("http://twitter.com","Twitter Web Client")</f>
        <v>Twitter Web Client</v>
      </c>
      <c r="L2099" s="12">
        <v>2358</v>
      </c>
      <c r="M2099" s="12">
        <v>3446</v>
      </c>
      <c r="N2099" s="12">
        <v>41</v>
      </c>
      <c r="O2099" s="15"/>
      <c r="P2099" s="6">
        <v>40515.16375</v>
      </c>
      <c r="Q2099" s="16" t="s">
        <v>7896</v>
      </c>
      <c r="R2099" s="17" t="s">
        <v>7897</v>
      </c>
      <c r="S2099" s="11"/>
      <c r="T2099" s="11"/>
      <c r="U2099" s="10" t="str">
        <f>HYPERLINK("https://pbs.twimg.com/profile_images/2225217343/Snapshot_20111201_2.JPG","View")</f>
        <v>View</v>
      </c>
    </row>
    <row r="2100" spans="1:21" ht="51">
      <c r="A2100" s="6">
        <v>43424.525046296301</v>
      </c>
      <c r="B2100" s="7" t="str">
        <f>HYPERLINK("https://twitter.com/patricia_trix8","@patricia_trix8")</f>
        <v>@patricia_trix8</v>
      </c>
      <c r="C2100" s="8" t="s">
        <v>4858</v>
      </c>
      <c r="D2100" s="9" t="s">
        <v>4859</v>
      </c>
      <c r="E2100" s="10" t="str">
        <f>HYPERLINK("https://twitter.com/patricia_trix8/status/1064980720509247488","1064980720509247488")</f>
        <v>1064980720509247488</v>
      </c>
      <c r="F2100" s="14" t="s">
        <v>4863</v>
      </c>
      <c r="G2100" s="14" t="s">
        <v>4864</v>
      </c>
      <c r="H2100" s="11"/>
      <c r="I2100" s="12">
        <v>16</v>
      </c>
      <c r="J2100" s="12">
        <v>24</v>
      </c>
      <c r="K2100" s="13" t="str">
        <f>HYPERLINK("http://twitter.com/download/iphone","Twitter for iPhone")</f>
        <v>Twitter for iPhone</v>
      </c>
      <c r="L2100" s="12">
        <v>1597</v>
      </c>
      <c r="M2100" s="12">
        <v>1866</v>
      </c>
      <c r="N2100" s="12">
        <v>1</v>
      </c>
      <c r="O2100" s="15"/>
      <c r="P2100" s="6">
        <v>43279.071250000001</v>
      </c>
      <c r="Q2100" s="16" t="s">
        <v>361</v>
      </c>
      <c r="R2100" s="17" t="s">
        <v>4867</v>
      </c>
      <c r="S2100" s="11"/>
      <c r="T2100" s="11"/>
      <c r="U2100" s="10" t="str">
        <f>HYPERLINK("https://pbs.twimg.com/profile_images/1065376768557809664/htJ62LBH.jpg","View")</f>
        <v>View</v>
      </c>
    </row>
    <row r="2101" spans="1:21" ht="51">
      <c r="A2101" s="6">
        <v>43424.522060185191</v>
      </c>
      <c r="B2101" s="7" t="str">
        <f>HYPERLINK("https://twitter.com/grancocolio","@grancocolio")</f>
        <v>@grancocolio</v>
      </c>
      <c r="C2101" s="8" t="s">
        <v>7898</v>
      </c>
      <c r="D2101" s="9" t="s">
        <v>7899</v>
      </c>
      <c r="E2101" s="10" t="str">
        <f>HYPERLINK("https://twitter.com/grancocolio/status/1064979635308507136","1064979635308507136")</f>
        <v>1064979635308507136</v>
      </c>
      <c r="F2101" s="11"/>
      <c r="G2101" s="14" t="s">
        <v>3164</v>
      </c>
      <c r="H2101" s="11"/>
      <c r="I2101" s="12">
        <v>773</v>
      </c>
      <c r="J2101" s="12">
        <v>1005</v>
      </c>
      <c r="K2101" s="13" t="str">
        <f>HYPERLINK("http://twitter.com/#!/download/ipad","Twitter for iPad")</f>
        <v>Twitter for iPad</v>
      </c>
      <c r="L2101" s="12">
        <v>44110</v>
      </c>
      <c r="M2101" s="12">
        <v>36147</v>
      </c>
      <c r="N2101" s="12">
        <v>164</v>
      </c>
      <c r="O2101" s="15"/>
      <c r="P2101" s="6">
        <v>42255.218958333338</v>
      </c>
      <c r="Q2101" s="11"/>
      <c r="R2101" s="17" t="s">
        <v>7900</v>
      </c>
      <c r="S2101" s="11"/>
      <c r="T2101" s="11"/>
      <c r="U2101" s="10" t="str">
        <f>HYPERLINK("https://pbs.twimg.com/profile_images/1029713060292976640/qB1QulA-.jpg","View")</f>
        <v>View</v>
      </c>
    </row>
    <row r="2102" spans="1:21" ht="30.6">
      <c r="A2102" s="6">
        <v>43424.522002314814</v>
      </c>
      <c r="B2102" s="7" t="str">
        <f>HYPERLINK("https://twitter.com/asparuh7","@asparuh7")</f>
        <v>@asparuh7</v>
      </c>
      <c r="C2102" s="8" t="s">
        <v>7894</v>
      </c>
      <c r="D2102" s="9" t="s">
        <v>7205</v>
      </c>
      <c r="E2102" s="10" t="str">
        <f>HYPERLINK("https://twitter.com/asparuh7/status/1064979615133966336","1064979615133966336")</f>
        <v>1064979615133966336</v>
      </c>
      <c r="F2102" s="14" t="s">
        <v>6622</v>
      </c>
      <c r="G2102" s="11"/>
      <c r="H2102" s="11"/>
      <c r="I2102" s="12">
        <v>0</v>
      </c>
      <c r="J2102" s="12">
        <v>0</v>
      </c>
      <c r="K2102" s="13" t="str">
        <f>HYPERLINK("http://twitter.com","Twitter Web Client")</f>
        <v>Twitter Web Client</v>
      </c>
      <c r="L2102" s="12">
        <v>2358</v>
      </c>
      <c r="M2102" s="12">
        <v>3446</v>
      </c>
      <c r="N2102" s="12">
        <v>41</v>
      </c>
      <c r="O2102" s="15"/>
      <c r="P2102" s="6">
        <v>40515.16375</v>
      </c>
      <c r="Q2102" s="16" t="s">
        <v>7896</v>
      </c>
      <c r="R2102" s="17" t="s">
        <v>7897</v>
      </c>
      <c r="S2102" s="11"/>
      <c r="T2102" s="11"/>
      <c r="U2102" s="10" t="str">
        <f>HYPERLINK("https://pbs.twimg.com/profile_images/2225217343/Snapshot_20111201_2.JPG","View")</f>
        <v>View</v>
      </c>
    </row>
    <row r="2103" spans="1:21" ht="51">
      <c r="A2103" s="6">
        <v>43424.519826388889</v>
      </c>
      <c r="B2103" s="7" t="str">
        <f>HYPERLINK("https://twitter.com/PedroGante1","@PedroGante1")</f>
        <v>@PedroGante1</v>
      </c>
      <c r="C2103" s="8" t="s">
        <v>7901</v>
      </c>
      <c r="D2103" s="9" t="s">
        <v>7902</v>
      </c>
      <c r="E2103" s="10" t="str">
        <f>HYPERLINK("https://twitter.com/PedroGante1/status/1064978827762380800","1064978827762380800")</f>
        <v>1064978827762380800</v>
      </c>
      <c r="F2103" s="11"/>
      <c r="G2103" s="11"/>
      <c r="H2103" s="11"/>
      <c r="I2103" s="12">
        <v>3</v>
      </c>
      <c r="J2103" s="12">
        <v>2</v>
      </c>
      <c r="K2103" s="13" t="str">
        <f t="shared" ref="K2103:K2104" si="438">HYPERLINK("http://twitter.com/download/android","Twitter for Android")</f>
        <v>Twitter for Android</v>
      </c>
      <c r="L2103" s="12">
        <v>507</v>
      </c>
      <c r="M2103" s="12">
        <v>748</v>
      </c>
      <c r="N2103" s="12">
        <v>1</v>
      </c>
      <c r="O2103" s="15"/>
      <c r="P2103" s="6">
        <v>43111.382916666669</v>
      </c>
      <c r="Q2103" s="11"/>
      <c r="R2103" s="17" t="s">
        <v>7903</v>
      </c>
      <c r="S2103" s="11"/>
      <c r="T2103" s="11"/>
      <c r="U2103" s="10" t="str">
        <f>HYPERLINK("https://pbs.twimg.com/profile_images/1004037667762257920/ha31Uy8C.jpg","View")</f>
        <v>View</v>
      </c>
    </row>
    <row r="2104" spans="1:21" ht="30.6">
      <c r="A2104" s="6">
        <v>43424.519143518519</v>
      </c>
      <c r="B2104" s="7" t="str">
        <f>HYPERLINK("https://twitter.com/Iluyank","@Iluyank")</f>
        <v>@Iluyank</v>
      </c>
      <c r="C2104" s="8" t="s">
        <v>7904</v>
      </c>
      <c r="D2104" s="9" t="s">
        <v>7905</v>
      </c>
      <c r="E2104" s="10" t="str">
        <f>HYPERLINK("https://twitter.com/Iluyank/status/1064978580545916929","1064978580545916929")</f>
        <v>1064978580545916929</v>
      </c>
      <c r="F2104" s="11"/>
      <c r="G2104" s="14" t="s">
        <v>7906</v>
      </c>
      <c r="H2104" s="11"/>
      <c r="I2104" s="12">
        <v>0</v>
      </c>
      <c r="J2104" s="12">
        <v>1</v>
      </c>
      <c r="K2104" s="13" t="str">
        <f t="shared" si="438"/>
        <v>Twitter for Android</v>
      </c>
      <c r="L2104" s="12">
        <v>249</v>
      </c>
      <c r="M2104" s="12">
        <v>369</v>
      </c>
      <c r="N2104" s="12">
        <v>23</v>
      </c>
      <c r="O2104" s="15"/>
      <c r="P2104" s="6">
        <v>41747.620648148149</v>
      </c>
      <c r="Q2104" s="16" t="s">
        <v>38</v>
      </c>
      <c r="R2104" s="17" t="s">
        <v>7907</v>
      </c>
      <c r="S2104" s="11"/>
      <c r="T2104" s="11"/>
      <c r="U2104" s="10" t="str">
        <f>HYPERLINK("https://pbs.twimg.com/profile_images/1018807893431345152/hATUraju.jpg","View")</f>
        <v>View</v>
      </c>
    </row>
    <row r="2105" spans="1:21" ht="30.6">
      <c r="A2105" s="6">
        <v>43424.517418981486</v>
      </c>
      <c r="B2105" s="7" t="str">
        <f>HYPERLINK("https://twitter.com/gaab75","@gaab75")</f>
        <v>@gaab75</v>
      </c>
      <c r="C2105" s="8" t="s">
        <v>6160</v>
      </c>
      <c r="D2105" s="9" t="s">
        <v>7908</v>
      </c>
      <c r="E2105" s="10" t="str">
        <f>HYPERLINK("https://twitter.com/gaab75/status/1064977954420256768","1064977954420256768")</f>
        <v>1064977954420256768</v>
      </c>
      <c r="F2105" s="11"/>
      <c r="G2105" s="11"/>
      <c r="H2105" s="11"/>
      <c r="I2105" s="12">
        <v>4</v>
      </c>
      <c r="J2105" s="12">
        <v>11</v>
      </c>
      <c r="K2105" s="13" t="str">
        <f>HYPERLINK("http://twitter.com","Twitter Web Client")</f>
        <v>Twitter Web Client</v>
      </c>
      <c r="L2105" s="12">
        <v>3587</v>
      </c>
      <c r="M2105" s="12">
        <v>1540</v>
      </c>
      <c r="N2105" s="12">
        <v>96</v>
      </c>
      <c r="O2105" s="15"/>
      <c r="P2105" s="6">
        <v>40128.580196759256</v>
      </c>
      <c r="Q2105" s="16" t="s">
        <v>214</v>
      </c>
      <c r="R2105" s="17" t="s">
        <v>6162</v>
      </c>
      <c r="S2105" s="14" t="s">
        <v>6163</v>
      </c>
      <c r="T2105" s="11"/>
      <c r="U2105" s="10" t="str">
        <f>HYPERLINK("https://pbs.twimg.com/profile_images/958087622638948354/Nn7-v7sP.jpg","View")</f>
        <v>View</v>
      </c>
    </row>
    <row r="2106" spans="1:21" ht="20.399999999999999">
      <c r="A2106" s="6">
        <v>43424.517361111109</v>
      </c>
      <c r="B2106" s="7" t="str">
        <f>HYPERLINK("https://twitter.com/periodistadigit","@periodistadigit")</f>
        <v>@periodistadigit</v>
      </c>
      <c r="C2106" s="8" t="s">
        <v>2016</v>
      </c>
      <c r="D2106" s="9" t="s">
        <v>7909</v>
      </c>
      <c r="E2106" s="10" t="str">
        <f>HYPERLINK("https://twitter.com/periodistadigit/status/1064977933410783232","1064977933410783232")</f>
        <v>1064977933410783232</v>
      </c>
      <c r="F2106" s="14" t="s">
        <v>7059</v>
      </c>
      <c r="G2106" s="11"/>
      <c r="H2106" s="11"/>
      <c r="I2106" s="12">
        <v>3</v>
      </c>
      <c r="J2106" s="12">
        <v>0</v>
      </c>
      <c r="K2106" s="13" t="str">
        <f>HYPERLINK("https://about.twitter.com/products/tweetdeck","TweetDeck")</f>
        <v>TweetDeck</v>
      </c>
      <c r="L2106" s="12">
        <v>56097</v>
      </c>
      <c r="M2106" s="12">
        <v>3791</v>
      </c>
      <c r="N2106" s="12">
        <v>1469</v>
      </c>
      <c r="O2106" s="18" t="s">
        <v>52</v>
      </c>
      <c r="P2106" s="6">
        <v>40084.541296296295</v>
      </c>
      <c r="Q2106" s="16" t="s">
        <v>38</v>
      </c>
      <c r="R2106" s="17" t="s">
        <v>2023</v>
      </c>
      <c r="S2106" s="14" t="s">
        <v>2024</v>
      </c>
      <c r="T2106" s="11"/>
      <c r="U2106" s="10" t="str">
        <f>HYPERLINK("https://pbs.twimg.com/profile_images/1913331873/periodista-digital.jpg","View")</f>
        <v>View</v>
      </c>
    </row>
    <row r="2107" spans="1:21" ht="71.400000000000006">
      <c r="A2107" s="6">
        <v>43424.516550925924</v>
      </c>
      <c r="B2107" s="7" t="str">
        <f>HYPERLINK("https://twitter.com/josecanoCT","@josecanoCT")</f>
        <v>@josecanoCT</v>
      </c>
      <c r="C2107" s="8" t="s">
        <v>4872</v>
      </c>
      <c r="D2107" s="9" t="s">
        <v>4873</v>
      </c>
      <c r="E2107" s="10" t="str">
        <f>HYPERLINK("https://twitter.com/josecanoCT/status/1064977639486758913","1064977639486758913")</f>
        <v>1064977639486758913</v>
      </c>
      <c r="F2107" s="16" t="s">
        <v>4875</v>
      </c>
      <c r="G2107" s="11"/>
      <c r="H2107" s="11"/>
      <c r="I2107" s="12">
        <v>0</v>
      </c>
      <c r="J2107" s="12">
        <v>0</v>
      </c>
      <c r="K2107" s="13" t="str">
        <f>HYPERLINK("http://twitter.com/download/iphone","Twitter for iPhone")</f>
        <v>Twitter for iPhone</v>
      </c>
      <c r="L2107" s="12">
        <v>70</v>
      </c>
      <c r="M2107" s="12">
        <v>310</v>
      </c>
      <c r="N2107" s="12">
        <v>0</v>
      </c>
      <c r="O2107" s="15"/>
      <c r="P2107" s="6">
        <v>42791.328912037032</v>
      </c>
      <c r="Q2107" s="16" t="s">
        <v>1417</v>
      </c>
      <c r="R2107" s="19"/>
      <c r="S2107" s="11"/>
      <c r="T2107" s="11"/>
      <c r="U2107" s="10" t="str">
        <f>HYPERLINK("https://pbs.twimg.com/profile_images/924386658820218880/Zgf0eH5o.jpg","View")</f>
        <v>View</v>
      </c>
    </row>
    <row r="2108" spans="1:21" ht="40.799999999999997">
      <c r="A2108" s="6">
        <v>43424.512118055558</v>
      </c>
      <c r="B2108" s="7" t="str">
        <f>HYPERLINK("https://twitter.com/OliverM3","@OliverM3")</f>
        <v>@OliverM3</v>
      </c>
      <c r="C2108" s="8" t="s">
        <v>4882</v>
      </c>
      <c r="D2108" s="9" t="s">
        <v>4883</v>
      </c>
      <c r="E2108" s="10" t="str">
        <f>HYPERLINK("https://twitter.com/OliverM3/status/1064976035920400385","1064976035920400385")</f>
        <v>1064976035920400385</v>
      </c>
      <c r="F2108" s="16" t="s">
        <v>4885</v>
      </c>
      <c r="G2108" s="11"/>
      <c r="H2108" s="11"/>
      <c r="I2108" s="12">
        <v>0</v>
      </c>
      <c r="J2108" s="12">
        <v>0</v>
      </c>
      <c r="K2108" s="13" t="str">
        <f t="shared" ref="K2108:K2109" si="439">HYPERLINK("http://twitter.com/download/android","Twitter for Android")</f>
        <v>Twitter for Android</v>
      </c>
      <c r="L2108" s="12">
        <v>342</v>
      </c>
      <c r="M2108" s="12">
        <v>668</v>
      </c>
      <c r="N2108" s="12">
        <v>2</v>
      </c>
      <c r="O2108" s="15"/>
      <c r="P2108" s="6">
        <v>40805.024027777778</v>
      </c>
      <c r="Q2108" s="16" t="s">
        <v>4886</v>
      </c>
      <c r="R2108" s="17" t="s">
        <v>4887</v>
      </c>
      <c r="S2108" s="11"/>
      <c r="T2108" s="11"/>
      <c r="U2108" s="10" t="str">
        <f>HYPERLINK("https://pbs.twimg.com/profile_images/1009642255811047425/Lgz5Q_cn.jpg","View")</f>
        <v>View</v>
      </c>
    </row>
    <row r="2109" spans="1:21" ht="61.2">
      <c r="A2109" s="6">
        <v>43424.510023148148</v>
      </c>
      <c r="B2109" s="7" t="str">
        <f>HYPERLINK("https://twitter.com/JubeirC","@JubeirC")</f>
        <v>@JubeirC</v>
      </c>
      <c r="C2109" s="8" t="s">
        <v>4891</v>
      </c>
      <c r="D2109" s="9" t="s">
        <v>4892</v>
      </c>
      <c r="E2109" s="10" t="str">
        <f>HYPERLINK("https://twitter.com/JubeirC/status/1064975273479864321","1064975273479864321")</f>
        <v>1064975273479864321</v>
      </c>
      <c r="F2109" s="11"/>
      <c r="G2109" s="14" t="s">
        <v>4895</v>
      </c>
      <c r="H2109" s="11"/>
      <c r="I2109" s="12">
        <v>0</v>
      </c>
      <c r="J2109" s="12">
        <v>1</v>
      </c>
      <c r="K2109" s="13" t="str">
        <f t="shared" si="439"/>
        <v>Twitter for Android</v>
      </c>
      <c r="L2109" s="12">
        <v>70</v>
      </c>
      <c r="M2109" s="12">
        <v>182</v>
      </c>
      <c r="N2109" s="12">
        <v>0</v>
      </c>
      <c r="O2109" s="15"/>
      <c r="P2109" s="6">
        <v>43418.08393518519</v>
      </c>
      <c r="Q2109" s="16" t="s">
        <v>87</v>
      </c>
      <c r="R2109" s="17" t="s">
        <v>4897</v>
      </c>
      <c r="S2109" s="11"/>
      <c r="T2109" s="11"/>
      <c r="U2109" s="10" t="str">
        <f>HYPERLINK("https://pbs.twimg.com/profile_images/1062652018391769088/3bCwwZzq.jpg","View")</f>
        <v>View</v>
      </c>
    </row>
    <row r="2110" spans="1:21" ht="71.400000000000006">
      <c r="A2110" s="6">
        <v>43424.509999999995</v>
      </c>
      <c r="B2110" s="7" t="str">
        <f>HYPERLINK("https://twitter.com/collado_rosa","@collado_rosa")</f>
        <v>@collado_rosa</v>
      </c>
      <c r="C2110" s="8" t="s">
        <v>7910</v>
      </c>
      <c r="D2110" s="9" t="s">
        <v>7911</v>
      </c>
      <c r="E2110" s="10" t="str">
        <f>HYPERLINK("https://twitter.com/collado_rosa/status/1064975266517262342","1064975266517262342")</f>
        <v>1064975266517262342</v>
      </c>
      <c r="F2110" s="14" t="s">
        <v>7912</v>
      </c>
      <c r="G2110" s="11"/>
      <c r="H2110" s="11"/>
      <c r="I2110" s="12">
        <v>0</v>
      </c>
      <c r="J2110" s="12">
        <v>0</v>
      </c>
      <c r="K2110" s="13" t="str">
        <f t="shared" ref="K2110:K2112" si="440">HYPERLINK("http://twitter.com","Twitter Web Client")</f>
        <v>Twitter Web Client</v>
      </c>
      <c r="L2110" s="12">
        <v>802</v>
      </c>
      <c r="M2110" s="12">
        <v>1689</v>
      </c>
      <c r="N2110" s="12">
        <v>9</v>
      </c>
      <c r="O2110" s="15"/>
      <c r="P2110" s="6">
        <v>40684.279386574075</v>
      </c>
      <c r="Q2110" s="16" t="s">
        <v>28</v>
      </c>
      <c r="R2110" s="17" t="s">
        <v>7913</v>
      </c>
      <c r="S2110" s="11"/>
      <c r="T2110" s="11"/>
      <c r="U2110" s="10" t="str">
        <f>HYPERLINK("https://pbs.twimg.com/profile_images/3049455685/161d32676dbf9376a401e3a8cfe185a7.jpeg","View")</f>
        <v>View</v>
      </c>
    </row>
    <row r="2111" spans="1:21" ht="30.6">
      <c r="A2111" s="6">
        <v>43424.509583333333</v>
      </c>
      <c r="B2111" s="7" t="str">
        <f>HYPERLINK("https://twitter.com/VitoFibonacci","@VitoFibonacci")</f>
        <v>@VitoFibonacci</v>
      </c>
      <c r="C2111" s="8" t="s">
        <v>4898</v>
      </c>
      <c r="D2111" s="9" t="s">
        <v>4899</v>
      </c>
      <c r="E2111" s="10" t="str">
        <f>HYPERLINK("https://twitter.com/VitoFibonacci/status/1064975117363621888","1064975117363621888")</f>
        <v>1064975117363621888</v>
      </c>
      <c r="F2111" s="11"/>
      <c r="G2111" s="11"/>
      <c r="H2111" s="11"/>
      <c r="I2111" s="12">
        <v>1</v>
      </c>
      <c r="J2111" s="12">
        <v>1</v>
      </c>
      <c r="K2111" s="13" t="str">
        <f t="shared" si="440"/>
        <v>Twitter Web Client</v>
      </c>
      <c r="L2111" s="12">
        <v>512</v>
      </c>
      <c r="M2111" s="12">
        <v>966</v>
      </c>
      <c r="N2111" s="12">
        <v>0</v>
      </c>
      <c r="O2111" s="15"/>
      <c r="P2111" s="6">
        <v>43349.367766203708</v>
      </c>
      <c r="Q2111" s="11"/>
      <c r="R2111" s="17" t="s">
        <v>4900</v>
      </c>
      <c r="S2111" s="11"/>
      <c r="T2111" s="11"/>
      <c r="U2111" s="10" t="str">
        <f>HYPERLINK("https://pbs.twimg.com/profile_images/1037874477483401217/WJMmab0i.jpg","View")</f>
        <v>View</v>
      </c>
    </row>
    <row r="2112" spans="1:21" ht="20.399999999999999">
      <c r="A2112" s="6">
        <v>43424.509236111116</v>
      </c>
      <c r="B2112" s="7" t="str">
        <f>HYPERLINK("https://twitter.com/calcazar30","@calcazar30")</f>
        <v>@calcazar30</v>
      </c>
      <c r="C2112" s="8" t="s">
        <v>7914</v>
      </c>
      <c r="D2112" s="9" t="s">
        <v>7848</v>
      </c>
      <c r="E2112" s="10" t="str">
        <f>HYPERLINK("https://twitter.com/calcazar30/status/1064974991647739904","1064974991647739904")</f>
        <v>1064974991647739904</v>
      </c>
      <c r="F2112" s="14" t="s">
        <v>2122</v>
      </c>
      <c r="G2112" s="11"/>
      <c r="H2112" s="11"/>
      <c r="I2112" s="12">
        <v>0</v>
      </c>
      <c r="J2112" s="12">
        <v>0</v>
      </c>
      <c r="K2112" s="13" t="str">
        <f t="shared" si="440"/>
        <v>Twitter Web Client</v>
      </c>
      <c r="L2112" s="12">
        <v>917</v>
      </c>
      <c r="M2112" s="12">
        <v>1067</v>
      </c>
      <c r="N2112" s="12">
        <v>39</v>
      </c>
      <c r="O2112" s="15"/>
      <c r="P2112" s="6">
        <v>41256.435150462959</v>
      </c>
      <c r="Q2112" s="16" t="s">
        <v>27</v>
      </c>
      <c r="R2112" s="17" t="s">
        <v>7915</v>
      </c>
      <c r="S2112" s="11"/>
      <c r="T2112" s="11"/>
      <c r="U2112" s="10" t="str">
        <f>HYPERLINK("https://pbs.twimg.com/profile_images/676799973573451776/oV4BNrT_.png","View")</f>
        <v>View</v>
      </c>
    </row>
    <row r="2113" spans="1:21" ht="51">
      <c r="A2113" s="6">
        <v>43424.507094907407</v>
      </c>
      <c r="B2113" s="7" t="str">
        <f>HYPERLINK("https://twitter.com/Rafa_eltorete","@Rafa_eltorete")</f>
        <v>@Rafa_eltorete</v>
      </c>
      <c r="C2113" s="8" t="s">
        <v>7916</v>
      </c>
      <c r="D2113" s="9" t="s">
        <v>7917</v>
      </c>
      <c r="E2113" s="10" t="str">
        <f>HYPERLINK("https://twitter.com/Rafa_eltorete/status/1064974214095142913","1064974214095142913")</f>
        <v>1064974214095142913</v>
      </c>
      <c r="F2113" s="11"/>
      <c r="G2113" s="11"/>
      <c r="H2113" s="11"/>
      <c r="I2113" s="12">
        <v>0</v>
      </c>
      <c r="J2113" s="12">
        <v>0</v>
      </c>
      <c r="K2113" s="13" t="str">
        <f>HYPERLINK("http://twitter.com/download/android","Twitter for Android")</f>
        <v>Twitter for Android</v>
      </c>
      <c r="L2113" s="12">
        <v>696</v>
      </c>
      <c r="M2113" s="12">
        <v>605</v>
      </c>
      <c r="N2113" s="12">
        <v>0</v>
      </c>
      <c r="O2113" s="15"/>
      <c r="P2113" s="6">
        <v>42814.410983796297</v>
      </c>
      <c r="Q2113" s="11"/>
      <c r="R2113" s="19"/>
      <c r="S2113" s="11"/>
      <c r="T2113" s="11"/>
      <c r="U2113" s="10" t="str">
        <f>HYPERLINK("https://pbs.twimg.com/profile_images/1000530269147942918/_OKYbl5b.jpg","View")</f>
        <v>View</v>
      </c>
    </row>
    <row r="2114" spans="1:21" ht="40.799999999999997">
      <c r="A2114" s="6">
        <v>43424.506979166668</v>
      </c>
      <c r="B2114" s="7" t="str">
        <f>HYPERLINK("https://twitter.com/patriciamlg","@patriciamlg")</f>
        <v>@patriciamlg</v>
      </c>
      <c r="C2114" s="8" t="s">
        <v>4903</v>
      </c>
      <c r="D2114" s="9" t="s">
        <v>4904</v>
      </c>
      <c r="E2114" s="10" t="str">
        <f>HYPERLINK("https://twitter.com/patriciamlg/status/1064974173628448769","1064974173628448769")</f>
        <v>1064974173628448769</v>
      </c>
      <c r="F2114" s="14" t="s">
        <v>4905</v>
      </c>
      <c r="G2114" s="14" t="s">
        <v>4906</v>
      </c>
      <c r="H2114" s="11"/>
      <c r="I2114" s="12">
        <v>0</v>
      </c>
      <c r="J2114" s="12">
        <v>0</v>
      </c>
      <c r="K2114" s="13" t="str">
        <f>HYPERLINK("http://twitter.com/download/iphone","Twitter for iPhone")</f>
        <v>Twitter for iPhone</v>
      </c>
      <c r="L2114" s="12">
        <v>43</v>
      </c>
      <c r="M2114" s="12">
        <v>231</v>
      </c>
      <c r="N2114" s="12">
        <v>0</v>
      </c>
      <c r="O2114" s="15"/>
      <c r="P2114" s="6">
        <v>40501.42728009259</v>
      </c>
      <c r="Q2114" s="16" t="s">
        <v>4907</v>
      </c>
      <c r="R2114" s="19"/>
      <c r="S2114" s="11"/>
      <c r="T2114" s="11"/>
      <c r="U2114" s="10" t="str">
        <f>HYPERLINK("https://pbs.twimg.com/profile_images/817055341997395968/HZwdfSfY.jpg","View")</f>
        <v>View</v>
      </c>
    </row>
    <row r="2115" spans="1:21" ht="13.2">
      <c r="A2115" s="6">
        <v>43424.506157407406</v>
      </c>
      <c r="B2115" s="7" t="str">
        <f>HYPERLINK("https://twitter.com/vivoenunhoyo","@vivoenunhoyo")</f>
        <v>@vivoenunhoyo</v>
      </c>
      <c r="C2115" s="8" t="s">
        <v>7918</v>
      </c>
      <c r="D2115" s="9" t="s">
        <v>7919</v>
      </c>
      <c r="E2115" s="10" t="str">
        <f>HYPERLINK("https://twitter.com/vivoenunhoyo/status/1064973873949679617","1064973873949679617")</f>
        <v>1064973873949679617</v>
      </c>
      <c r="F2115" s="11"/>
      <c r="G2115" s="11"/>
      <c r="H2115" s="11"/>
      <c r="I2115" s="12">
        <v>0</v>
      </c>
      <c r="J2115" s="12">
        <v>0</v>
      </c>
      <c r="K2115" s="13" t="str">
        <f>HYPERLINK("http://twitter.com","Twitter Web Client")</f>
        <v>Twitter Web Client</v>
      </c>
      <c r="L2115" s="12">
        <v>436</v>
      </c>
      <c r="M2115" s="12">
        <v>3339</v>
      </c>
      <c r="N2115" s="12">
        <v>19</v>
      </c>
      <c r="O2115" s="15"/>
      <c r="P2115" s="6">
        <v>40981.650196759263</v>
      </c>
      <c r="Q2115" s="16" t="s">
        <v>7920</v>
      </c>
      <c r="R2115" s="17" t="s">
        <v>7921</v>
      </c>
      <c r="S2115" s="14" t="s">
        <v>7922</v>
      </c>
      <c r="T2115" s="11"/>
      <c r="U2115" s="10" t="str">
        <f>HYPERLINK("https://pbs.twimg.com/profile_images/1063353815959830528/m6kZT_T0.jpg","View")</f>
        <v>View</v>
      </c>
    </row>
    <row r="2116" spans="1:21" ht="51">
      <c r="A2116" s="6">
        <v>43424.500717592593</v>
      </c>
      <c r="B2116" s="7" t="str">
        <f>HYPERLINK("https://twitter.com/Lamorteratres","@Lamorteratres")</f>
        <v>@Lamorteratres</v>
      </c>
      <c r="C2116" s="8" t="s">
        <v>3516</v>
      </c>
      <c r="D2116" s="9" t="s">
        <v>4908</v>
      </c>
      <c r="E2116" s="10" t="str">
        <f>HYPERLINK("https://twitter.com/Lamorteratres/status/1064971904015089667","1064971904015089667")</f>
        <v>1064971904015089667</v>
      </c>
      <c r="F2116" s="11"/>
      <c r="G2116" s="14" t="s">
        <v>4909</v>
      </c>
      <c r="H2116" s="11"/>
      <c r="I2116" s="12">
        <v>0</v>
      </c>
      <c r="J2116" s="12">
        <v>2</v>
      </c>
      <c r="K2116" s="13" t="str">
        <f>HYPERLINK("http://twitter.com/download/android","Twitter for Android")</f>
        <v>Twitter for Android</v>
      </c>
      <c r="L2116" s="12">
        <v>4301</v>
      </c>
      <c r="M2116" s="12">
        <v>4971</v>
      </c>
      <c r="N2116" s="12">
        <v>6</v>
      </c>
      <c r="O2116" s="15"/>
      <c r="P2116" s="6">
        <v>42350.068287037036</v>
      </c>
      <c r="Q2116" s="16" t="s">
        <v>3519</v>
      </c>
      <c r="R2116" s="19"/>
      <c r="S2116" s="11"/>
      <c r="T2116" s="11"/>
      <c r="U2116" s="10" t="str">
        <f>HYPERLINK("https://pbs.twimg.com/profile_images/964599497618788352/U9tH8AwV.jpg","View")</f>
        <v>View</v>
      </c>
    </row>
    <row r="2117" spans="1:21" ht="51">
      <c r="A2117" s="6">
        <v>43424.498726851853</v>
      </c>
      <c r="B2117" s="7" t="str">
        <f>HYPERLINK("https://twitter.com/candidovsky","@candidovsky")</f>
        <v>@candidovsky</v>
      </c>
      <c r="C2117" s="8" t="s">
        <v>4910</v>
      </c>
      <c r="D2117" s="9" t="s">
        <v>4911</v>
      </c>
      <c r="E2117" s="10" t="str">
        <f>HYPERLINK("https://twitter.com/candidovsky/status/1064971182468972544","1064971182468972544")</f>
        <v>1064971182468972544</v>
      </c>
      <c r="F2117" s="11"/>
      <c r="G2117" s="14" t="s">
        <v>4912</v>
      </c>
      <c r="H2117" s="11"/>
      <c r="I2117" s="12">
        <v>0</v>
      </c>
      <c r="J2117" s="12">
        <v>4</v>
      </c>
      <c r="K2117" s="13" t="str">
        <f>HYPERLINK("http://twitter.com/download/iphone","Twitter for iPhone")</f>
        <v>Twitter for iPhone</v>
      </c>
      <c r="L2117" s="12">
        <v>1848</v>
      </c>
      <c r="M2117" s="12">
        <v>2567</v>
      </c>
      <c r="N2117" s="12">
        <v>4</v>
      </c>
      <c r="O2117" s="15"/>
      <c r="P2117" s="6">
        <v>42556.206585648149</v>
      </c>
      <c r="Q2117" s="16" t="s">
        <v>4913</v>
      </c>
      <c r="R2117" s="17" t="s">
        <v>4914</v>
      </c>
      <c r="S2117" s="11"/>
      <c r="T2117" s="11"/>
      <c r="U2117" s="10" t="str">
        <f>HYPERLINK("https://pbs.twimg.com/profile_images/1010600127143260161/qkhNRovS.jpg","View")</f>
        <v>View</v>
      </c>
    </row>
    <row r="2118" spans="1:21" ht="51">
      <c r="A2118" s="6">
        <v>43424.496365740742</v>
      </c>
      <c r="B2118" s="7" t="str">
        <f>HYPERLINK("https://twitter.com/BorrachoF","@BorrachoF")</f>
        <v>@BorrachoF</v>
      </c>
      <c r="C2118" s="8" t="s">
        <v>7923</v>
      </c>
      <c r="D2118" s="9" t="s">
        <v>7924</v>
      </c>
      <c r="E2118" s="10" t="str">
        <f>HYPERLINK("https://twitter.com/BorrachoF/status/1064970323676794880","1064970323676794880")</f>
        <v>1064970323676794880</v>
      </c>
      <c r="F2118" s="14" t="s">
        <v>7925</v>
      </c>
      <c r="G2118" s="14" t="s">
        <v>7926</v>
      </c>
      <c r="H2118" s="11"/>
      <c r="I2118" s="12">
        <v>0</v>
      </c>
      <c r="J2118" s="12">
        <v>0</v>
      </c>
      <c r="K2118" s="13" t="str">
        <f>HYPERLINK("http://twitter.com/download/android","Twitter for Android")</f>
        <v>Twitter for Android</v>
      </c>
      <c r="L2118" s="12">
        <v>68</v>
      </c>
      <c r="M2118" s="12">
        <v>296</v>
      </c>
      <c r="N2118" s="12">
        <v>1</v>
      </c>
      <c r="O2118" s="15"/>
      <c r="P2118" s="6">
        <v>43343.071875000001</v>
      </c>
      <c r="Q2118" s="11"/>
      <c r="R2118" s="17" t="s">
        <v>7927</v>
      </c>
      <c r="S2118" s="11"/>
      <c r="T2118" s="11"/>
      <c r="U2118" s="10" t="str">
        <f>HYPERLINK("https://pbs.twimg.com/profile_images/1035473151629701120/w1GKVwkb.jpg","View")</f>
        <v>View</v>
      </c>
    </row>
    <row r="2119" spans="1:21" ht="40.799999999999997">
      <c r="A2119" s="6">
        <v>43424.495567129634</v>
      </c>
      <c r="B2119" s="7" t="str">
        <f>HYPERLINK("https://twitter.com/euroescoba","@euroescoba")</f>
        <v>@euroescoba</v>
      </c>
      <c r="C2119" s="8" t="s">
        <v>4918</v>
      </c>
      <c r="D2119" s="9" t="s">
        <v>4919</v>
      </c>
      <c r="E2119" s="10" t="str">
        <f>HYPERLINK("https://twitter.com/euroescoba/status/1064970037042298880","1064970037042298880")</f>
        <v>1064970037042298880</v>
      </c>
      <c r="F2119" s="16" t="s">
        <v>4922</v>
      </c>
      <c r="G2119" s="11"/>
      <c r="H2119" s="11"/>
      <c r="I2119" s="12">
        <v>0</v>
      </c>
      <c r="J2119" s="12">
        <v>0</v>
      </c>
      <c r="K2119" s="13" t="str">
        <f>HYPERLINK("http://twitter.com/download/iphone","Twitter for iPhone")</f>
        <v>Twitter for iPhone</v>
      </c>
      <c r="L2119" s="12">
        <v>205</v>
      </c>
      <c r="M2119" s="12">
        <v>594</v>
      </c>
      <c r="N2119" s="12">
        <v>0</v>
      </c>
      <c r="O2119" s="15"/>
      <c r="P2119" s="6">
        <v>43359.496423611112</v>
      </c>
      <c r="Q2119" s="16" t="s">
        <v>28</v>
      </c>
      <c r="R2119" s="19"/>
      <c r="S2119" s="11"/>
      <c r="T2119" s="11"/>
      <c r="U2119" s="10" t="str">
        <f>HYPERLINK("https://pbs.twimg.com/profile_images/1041401488071962625/h0f4uHG9.jpg","View")</f>
        <v>View</v>
      </c>
    </row>
    <row r="2120" spans="1:21" ht="61.2">
      <c r="A2120" s="6">
        <v>43424.495023148149</v>
      </c>
      <c r="B2120" s="7" t="str">
        <f>HYPERLINK("https://twitter.com/lechuzeta","@lechuzeta")</f>
        <v>@lechuzeta</v>
      </c>
      <c r="C2120" s="8" t="s">
        <v>1121</v>
      </c>
      <c r="D2120" s="9" t="s">
        <v>1122</v>
      </c>
      <c r="E2120" s="10" t="str">
        <f>HYPERLINK("https://twitter.com/lechuzeta/status/1064969840635625478","1064969840635625478")</f>
        <v>1064969840635625478</v>
      </c>
      <c r="F2120" s="11"/>
      <c r="G2120" s="14" t="s">
        <v>4928</v>
      </c>
      <c r="H2120" s="11"/>
      <c r="I2120" s="12">
        <v>1</v>
      </c>
      <c r="J2120" s="12">
        <v>0</v>
      </c>
      <c r="K2120" s="13" t="str">
        <f>HYPERLINK("http://twitter.com/download/android","Twitter for Android")</f>
        <v>Twitter for Android</v>
      </c>
      <c r="L2120" s="12">
        <v>2518</v>
      </c>
      <c r="M2120" s="12">
        <v>3120</v>
      </c>
      <c r="N2120" s="12">
        <v>46</v>
      </c>
      <c r="O2120" s="15"/>
      <c r="P2120" s="6">
        <v>41869.322245370371</v>
      </c>
      <c r="Q2120" s="16" t="s">
        <v>1125</v>
      </c>
      <c r="R2120" s="17" t="s">
        <v>1126</v>
      </c>
      <c r="S2120" s="14" t="s">
        <v>1128</v>
      </c>
      <c r="T2120" s="11"/>
      <c r="U2120" s="10" t="str">
        <f>HYPERLINK("https://pbs.twimg.com/profile_images/501385939197771776/wuK0x4a9.jpeg","View")</f>
        <v>View</v>
      </c>
    </row>
    <row r="2121" spans="1:21" ht="20.399999999999999">
      <c r="A2121" s="6">
        <v>43424.494421296295</v>
      </c>
      <c r="B2121" s="7" t="str">
        <f>HYPERLINK("https://twitter.com/flikxxi","@flikxxi")</f>
        <v>@flikxxi</v>
      </c>
      <c r="C2121" s="8" t="s">
        <v>7928</v>
      </c>
      <c r="D2121" s="9" t="s">
        <v>7929</v>
      </c>
      <c r="E2121" s="10" t="str">
        <f>HYPERLINK("https://twitter.com/flikxxi/status/1064969622473138177","1064969622473138177")</f>
        <v>1064969622473138177</v>
      </c>
      <c r="F2121" s="16" t="s">
        <v>7930</v>
      </c>
      <c r="G2121" s="11"/>
      <c r="H2121" s="11"/>
      <c r="I2121" s="12">
        <v>0</v>
      </c>
      <c r="J2121" s="12">
        <v>0</v>
      </c>
      <c r="K2121" s="13" t="str">
        <f>HYPERLINK("http://www.redninjastudio.com","Talk Text")</f>
        <v>Talk Text</v>
      </c>
      <c r="L2121" s="12">
        <v>170</v>
      </c>
      <c r="M2121" s="12">
        <v>120</v>
      </c>
      <c r="N2121" s="12">
        <v>45</v>
      </c>
      <c r="O2121" s="15"/>
      <c r="P2121" s="6">
        <v>39784.61215277778</v>
      </c>
      <c r="Q2121" s="16" t="s">
        <v>7931</v>
      </c>
      <c r="R2121" s="17" t="s">
        <v>7932</v>
      </c>
      <c r="S2121" s="14" t="s">
        <v>7933</v>
      </c>
      <c r="T2121" s="11"/>
      <c r="U2121" s="10" t="str">
        <f>HYPERLINK("https://pbs.twimg.com/profile_images/673435094707789824/iUzS1Xq0.png","View")</f>
        <v>View</v>
      </c>
    </row>
    <row r="2122" spans="1:21" ht="40.799999999999997">
      <c r="A2122" s="6">
        <v>43424.494351851856</v>
      </c>
      <c r="B2122" s="7" t="str">
        <f>HYPERLINK("https://twitter.com/scummon","@scummon")</f>
        <v>@scummon</v>
      </c>
      <c r="C2122" s="8" t="s">
        <v>7934</v>
      </c>
      <c r="D2122" s="9" t="s">
        <v>7935</v>
      </c>
      <c r="E2122" s="10" t="str">
        <f>HYPERLINK("https://twitter.com/scummon/status/1064969596426440705","1064969596426440705")</f>
        <v>1064969596426440705</v>
      </c>
      <c r="F2122" s="11"/>
      <c r="G2122" s="11"/>
      <c r="H2122" s="11"/>
      <c r="I2122" s="12">
        <v>3</v>
      </c>
      <c r="J2122" s="12">
        <v>6</v>
      </c>
      <c r="K2122" s="13" t="str">
        <f t="shared" ref="K2122:K2123" si="441">HYPERLINK("http://twitter.com/download/android","Twitter for Android")</f>
        <v>Twitter for Android</v>
      </c>
      <c r="L2122" s="12">
        <v>288</v>
      </c>
      <c r="M2122" s="12">
        <v>367</v>
      </c>
      <c r="N2122" s="12">
        <v>5</v>
      </c>
      <c r="O2122" s="15"/>
      <c r="P2122" s="6">
        <v>40780.600011574075</v>
      </c>
      <c r="Q2122" s="16" t="s">
        <v>132</v>
      </c>
      <c r="R2122" s="17" t="s">
        <v>7936</v>
      </c>
      <c r="S2122" s="11"/>
      <c r="T2122" s="11"/>
      <c r="U2122" s="10" t="str">
        <f>HYPERLINK("https://pbs.twimg.com/profile_images/541669127950053376/GDuQILT1.jpeg","View")</f>
        <v>View</v>
      </c>
    </row>
    <row r="2123" spans="1:21" ht="51">
      <c r="A2123" s="6">
        <v>43424.491944444446</v>
      </c>
      <c r="B2123" s="7" t="str">
        <f>HYPERLINK("https://twitter.com/TabarniaG","@TabarniaG")</f>
        <v>@TabarniaG</v>
      </c>
      <c r="C2123" s="8" t="s">
        <v>4932</v>
      </c>
      <c r="D2123" s="9" t="s">
        <v>4933</v>
      </c>
      <c r="E2123" s="10" t="str">
        <f>HYPERLINK("https://twitter.com/TabarniaG/status/1064968722102853632","1064968722102853632")</f>
        <v>1064968722102853632</v>
      </c>
      <c r="F2123" s="11"/>
      <c r="G2123" s="14" t="s">
        <v>4934</v>
      </c>
      <c r="H2123" s="11"/>
      <c r="I2123" s="12">
        <v>40</v>
      </c>
      <c r="J2123" s="12">
        <v>22</v>
      </c>
      <c r="K2123" s="13" t="str">
        <f t="shared" si="441"/>
        <v>Twitter for Android</v>
      </c>
      <c r="L2123" s="12">
        <v>535</v>
      </c>
      <c r="M2123" s="12">
        <v>251</v>
      </c>
      <c r="N2123" s="12">
        <v>7</v>
      </c>
      <c r="O2123" s="15"/>
      <c r="P2123" s="6">
        <v>43096.692199074074</v>
      </c>
      <c r="Q2123" s="16" t="s">
        <v>4935</v>
      </c>
      <c r="R2123" s="17" t="s">
        <v>4936</v>
      </c>
      <c r="S2123" s="11"/>
      <c r="T2123" s="11"/>
      <c r="U2123" s="10" t="str">
        <f>HYPERLINK("https://pbs.twimg.com/profile_images/946543633267941377/TUDPsxMg.jpg","View")</f>
        <v>View</v>
      </c>
    </row>
    <row r="2124" spans="1:21" ht="40.799999999999997">
      <c r="A2124" s="6">
        <v>43424.491493055553</v>
      </c>
      <c r="B2124" s="7" t="str">
        <f>HYPERLINK("https://twitter.com/comoestaestpais","@comoestaestpais")</f>
        <v>@comoestaestpais</v>
      </c>
      <c r="C2124" s="8" t="s">
        <v>6340</v>
      </c>
      <c r="D2124" s="9" t="s">
        <v>7937</v>
      </c>
      <c r="E2124" s="10" t="str">
        <f>HYPERLINK("https://twitter.com/comoestaestpais/status/1064968560659898369","1064968560659898369")</f>
        <v>1064968560659898369</v>
      </c>
      <c r="F2124" s="11"/>
      <c r="G2124" s="11"/>
      <c r="H2124" s="11"/>
      <c r="I2124" s="12">
        <v>0</v>
      </c>
      <c r="J2124" s="12">
        <v>0</v>
      </c>
      <c r="K2124" s="13" t="str">
        <f t="shared" ref="K2124:K2125" si="442">HYPERLINK("http://twitter.com","Twitter Web Client")</f>
        <v>Twitter Web Client</v>
      </c>
      <c r="L2124" s="12">
        <v>7</v>
      </c>
      <c r="M2124" s="12">
        <v>50</v>
      </c>
      <c r="N2124" s="12">
        <v>0</v>
      </c>
      <c r="O2124" s="15"/>
      <c r="P2124" s="6">
        <v>43028.595393518517</v>
      </c>
      <c r="Q2124" s="11"/>
      <c r="R2124" s="19"/>
      <c r="S2124" s="11"/>
      <c r="T2124" s="11"/>
      <c r="U2124" s="10" t="str">
        <f>HYPERLINK("https://pbs.twimg.com/profile_images/921893342971158530/qstU2w8X.jpg","View")</f>
        <v>View</v>
      </c>
    </row>
    <row r="2125" spans="1:21" ht="40.799999999999997">
      <c r="A2125" s="6">
        <v>43424.49083333333</v>
      </c>
      <c r="B2125" s="7" t="str">
        <f>HYPERLINK("https://twitter.com/blanco_dona","@blanco_dona")</f>
        <v>@blanco_dona</v>
      </c>
      <c r="C2125" s="8" t="s">
        <v>3238</v>
      </c>
      <c r="D2125" s="9" t="s">
        <v>7938</v>
      </c>
      <c r="E2125" s="10" t="str">
        <f>HYPERLINK("https://twitter.com/blanco_dona/status/1064968322511511558","1064968322511511558")</f>
        <v>1064968322511511558</v>
      </c>
      <c r="F2125" s="14" t="s">
        <v>5336</v>
      </c>
      <c r="G2125" s="11"/>
      <c r="H2125" s="11"/>
      <c r="I2125" s="12">
        <v>53</v>
      </c>
      <c r="J2125" s="12">
        <v>34</v>
      </c>
      <c r="K2125" s="13" t="str">
        <f t="shared" si="442"/>
        <v>Twitter Web Client</v>
      </c>
      <c r="L2125" s="12">
        <v>5276</v>
      </c>
      <c r="M2125" s="12">
        <v>4996</v>
      </c>
      <c r="N2125" s="12">
        <v>35</v>
      </c>
      <c r="O2125" s="15"/>
      <c r="P2125" s="6">
        <v>42273.296157407407</v>
      </c>
      <c r="Q2125" s="16" t="s">
        <v>3242</v>
      </c>
      <c r="R2125" s="19"/>
      <c r="S2125" s="11"/>
      <c r="T2125" s="11"/>
      <c r="U2125" s="10" t="str">
        <f>HYPERLINK("https://pbs.twimg.com/profile_images/851360841945432065/TaBXX1Qz.jpg","View")</f>
        <v>View</v>
      </c>
    </row>
    <row r="2126" spans="1:21" ht="61.2">
      <c r="A2126" s="6">
        <v>43424.490717592591</v>
      </c>
      <c r="B2126" s="7" t="str">
        <f>HYPERLINK("https://twitter.com/eguskialde369","@eguskialde369")</f>
        <v>@eguskialde369</v>
      </c>
      <c r="C2126" s="8" t="s">
        <v>7939</v>
      </c>
      <c r="D2126" s="9" t="s">
        <v>7940</v>
      </c>
      <c r="E2126" s="10" t="str">
        <f>HYPERLINK("https://twitter.com/eguskialde369/status/1064968279515525120","1064968279515525120")</f>
        <v>1064968279515525120</v>
      </c>
      <c r="F2126" s="16" t="s">
        <v>7941</v>
      </c>
      <c r="G2126" s="14" t="s">
        <v>7942</v>
      </c>
      <c r="H2126" s="11"/>
      <c r="I2126" s="12">
        <v>1</v>
      </c>
      <c r="J2126" s="12">
        <v>3</v>
      </c>
      <c r="K2126" s="13" t="str">
        <f>HYPERLINK("http://twitter.com/download/android","Twitter for Android")</f>
        <v>Twitter for Android</v>
      </c>
      <c r="L2126" s="12">
        <v>1040</v>
      </c>
      <c r="M2126" s="12">
        <v>963</v>
      </c>
      <c r="N2126" s="12">
        <v>20</v>
      </c>
      <c r="O2126" s="15"/>
      <c r="P2126" s="6">
        <v>41441.63349537037</v>
      </c>
      <c r="Q2126" s="11"/>
      <c r="R2126" s="17" t="s">
        <v>7943</v>
      </c>
      <c r="S2126" s="11"/>
      <c r="T2126" s="11"/>
      <c r="U2126" s="10" t="str">
        <f>HYPERLINK("https://pbs.twimg.com/profile_images/1060767567105552384/wdHOLC0t.jpg","View")</f>
        <v>View</v>
      </c>
    </row>
    <row r="2127" spans="1:21" ht="20.399999999999999">
      <c r="A2127" s="6">
        <v>43424.490671296298</v>
      </c>
      <c r="B2127" s="7" t="str">
        <f>HYPERLINK("https://twitter.com/franjemacos","@franjemacos")</f>
        <v>@franjemacos</v>
      </c>
      <c r="C2127" s="8" t="s">
        <v>7944</v>
      </c>
      <c r="D2127" s="9" t="s">
        <v>7831</v>
      </c>
      <c r="E2127" s="10" t="str">
        <f>HYPERLINK("https://twitter.com/franjemacos/status/1064968260360331264","1064968260360331264")</f>
        <v>1064968260360331264</v>
      </c>
      <c r="F2127" s="14" t="s">
        <v>7832</v>
      </c>
      <c r="G2127" s="11"/>
      <c r="H2127" s="11"/>
      <c r="I2127" s="12">
        <v>0</v>
      </c>
      <c r="J2127" s="12">
        <v>1</v>
      </c>
      <c r="K2127" s="13" t="str">
        <f>HYPERLINK("http://twitter.com","Twitter Web Client")</f>
        <v>Twitter Web Client</v>
      </c>
      <c r="L2127" s="12">
        <v>3299</v>
      </c>
      <c r="M2127" s="12">
        <v>5000</v>
      </c>
      <c r="N2127" s="12">
        <v>28</v>
      </c>
      <c r="O2127" s="15"/>
      <c r="P2127" s="6">
        <v>41025.303043981483</v>
      </c>
      <c r="Q2127" s="16" t="s">
        <v>7945</v>
      </c>
      <c r="R2127" s="19"/>
      <c r="S2127" s="11"/>
      <c r="T2127" s="11"/>
      <c r="U2127" s="10" t="str">
        <f>HYPERLINK("https://pbs.twimg.com/profile_images/1019703904228007941/uTa6P5cS.jpg","View")</f>
        <v>View</v>
      </c>
    </row>
    <row r="2128" spans="1:21" ht="61.2">
      <c r="A2128" s="6">
        <v>43424.489560185189</v>
      </c>
      <c r="B2128" s="7" t="str">
        <f>HYPERLINK("https://twitter.com/dieholhh99","@dieholhh99")</f>
        <v>@dieholhh99</v>
      </c>
      <c r="C2128" s="8" t="s">
        <v>7946</v>
      </c>
      <c r="D2128" s="9" t="s">
        <v>7947</v>
      </c>
      <c r="E2128" s="10" t="str">
        <f>HYPERLINK("https://twitter.com/dieholhh99/status/1064967859107958784","1064967859107958784")</f>
        <v>1064967859107958784</v>
      </c>
      <c r="F2128" s="16" t="s">
        <v>7948</v>
      </c>
      <c r="G2128" s="14" t="s">
        <v>7949</v>
      </c>
      <c r="H2128" s="11"/>
      <c r="I2128" s="12">
        <v>0</v>
      </c>
      <c r="J2128" s="12">
        <v>0</v>
      </c>
      <c r="K2128" s="13" t="str">
        <f>HYPERLINK("http://twitter.com/download/android","Twitter for Android")</f>
        <v>Twitter for Android</v>
      </c>
      <c r="L2128" s="12">
        <v>533</v>
      </c>
      <c r="M2128" s="12">
        <v>302</v>
      </c>
      <c r="N2128" s="12">
        <v>3</v>
      </c>
      <c r="O2128" s="15"/>
      <c r="P2128" s="6">
        <v>42162.22038194444</v>
      </c>
      <c r="Q2128" s="16" t="s">
        <v>28</v>
      </c>
      <c r="R2128" s="17" t="s">
        <v>7950</v>
      </c>
      <c r="S2128" s="11"/>
      <c r="T2128" s="11"/>
      <c r="U2128" s="10" t="str">
        <f>HYPERLINK("https://pbs.twimg.com/profile_images/1065711582573981697/03Q4Hej2.jpg","View")</f>
        <v>View</v>
      </c>
    </row>
    <row r="2129" spans="1:21" ht="40.799999999999997">
      <c r="A2129" s="6">
        <v>43424.487268518518</v>
      </c>
      <c r="B2129" s="7" t="str">
        <f>HYPERLINK("https://twitter.com/DenniselAzul","@DenniselAzul")</f>
        <v>@DenniselAzul</v>
      </c>
      <c r="C2129" s="8" t="s">
        <v>7951</v>
      </c>
      <c r="D2129" s="9" t="s">
        <v>7952</v>
      </c>
      <c r="E2129" s="10" t="str">
        <f>HYPERLINK("https://twitter.com/DenniselAzul/status/1064967027851489280","1064967027851489280")</f>
        <v>1064967027851489280</v>
      </c>
      <c r="F2129" s="11"/>
      <c r="G2129" s="11"/>
      <c r="H2129" s="11"/>
      <c r="I2129" s="12">
        <v>0</v>
      </c>
      <c r="J2129" s="12">
        <v>0</v>
      </c>
      <c r="K2129" s="13" t="str">
        <f>HYPERLINK("http://twitter.com","Twitter Web Client")</f>
        <v>Twitter Web Client</v>
      </c>
      <c r="L2129" s="12">
        <v>759</v>
      </c>
      <c r="M2129" s="12">
        <v>347</v>
      </c>
      <c r="N2129" s="12">
        <v>1</v>
      </c>
      <c r="O2129" s="15"/>
      <c r="P2129" s="6">
        <v>40547.302812499998</v>
      </c>
      <c r="Q2129" s="16" t="s">
        <v>7953</v>
      </c>
      <c r="R2129" s="17" t="s">
        <v>7954</v>
      </c>
      <c r="S2129" s="14" t="s">
        <v>7955</v>
      </c>
      <c r="T2129" s="11"/>
      <c r="U2129" s="10" t="str">
        <f>HYPERLINK("https://pbs.twimg.com/profile_images/1036623075972923392/jnnaxvSl.jpg","View")</f>
        <v>View</v>
      </c>
    </row>
    <row r="2130" spans="1:21" ht="20.399999999999999">
      <c r="A2130" s="6">
        <v>43424.487002314811</v>
      </c>
      <c r="B2130" s="7" t="str">
        <f>HYPERLINK("https://twitter.com/LuisLeonardoV","@LuisLeonardoV")</f>
        <v>@LuisLeonardoV</v>
      </c>
      <c r="C2130" s="8" t="s">
        <v>7956</v>
      </c>
      <c r="D2130" s="9" t="s">
        <v>7957</v>
      </c>
      <c r="E2130" s="10" t="str">
        <f>HYPERLINK("https://twitter.com/LuisLeonardoV/status/1064966931197775872","1064966931197775872")</f>
        <v>1064966931197775872</v>
      </c>
      <c r="F2130" s="14" t="s">
        <v>2122</v>
      </c>
      <c r="G2130" s="11"/>
      <c r="H2130" s="11"/>
      <c r="I2130" s="12">
        <v>0</v>
      </c>
      <c r="J2130" s="12">
        <v>0</v>
      </c>
      <c r="K2130" s="13" t="str">
        <f>HYPERLINK("http://www.facebook.com/twitter","Facebook")</f>
        <v>Facebook</v>
      </c>
      <c r="L2130" s="12">
        <v>87</v>
      </c>
      <c r="M2130" s="12">
        <v>574</v>
      </c>
      <c r="N2130" s="12">
        <v>0</v>
      </c>
      <c r="O2130" s="15"/>
      <c r="P2130" s="6">
        <v>40799.253391203703</v>
      </c>
      <c r="Q2130" s="16" t="s">
        <v>158</v>
      </c>
      <c r="R2130" s="17" t="s">
        <v>7958</v>
      </c>
      <c r="S2130" s="11"/>
      <c r="T2130" s="11"/>
      <c r="U2130" s="10" t="str">
        <f>HYPERLINK("https://pbs.twimg.com/profile_images/953603125646188544/vVgwuEZ6.jpg","View")</f>
        <v>View</v>
      </c>
    </row>
    <row r="2131" spans="1:21" ht="81.599999999999994">
      <c r="A2131" s="6">
        <v>43424.485601851848</v>
      </c>
      <c r="B2131" s="7" t="str">
        <f>HYPERLINK("https://twitter.com/doguionrego","@doguionrego")</f>
        <v>@doguionrego</v>
      </c>
      <c r="C2131" s="8" t="s">
        <v>4937</v>
      </c>
      <c r="D2131" s="9" t="s">
        <v>4938</v>
      </c>
      <c r="E2131" s="10" t="str">
        <f>HYPERLINK("https://twitter.com/doguionrego/status/1064966423762649088","1064966423762649088")</f>
        <v>1064966423762649088</v>
      </c>
      <c r="F2131" s="14" t="s">
        <v>4939</v>
      </c>
      <c r="G2131" s="14" t="s">
        <v>4941</v>
      </c>
      <c r="H2131" s="11"/>
      <c r="I2131" s="12">
        <v>0</v>
      </c>
      <c r="J2131" s="12">
        <v>0</v>
      </c>
      <c r="K2131" s="13" t="str">
        <f t="shared" ref="K2131:K2132" si="443">HYPERLINK("http://twitter.com/download/android","Twitter for Android")</f>
        <v>Twitter for Android</v>
      </c>
      <c r="L2131" s="12">
        <v>4546</v>
      </c>
      <c r="M2131" s="12">
        <v>4645</v>
      </c>
      <c r="N2131" s="12">
        <v>9</v>
      </c>
      <c r="O2131" s="15"/>
      <c r="P2131" s="6">
        <v>42818.300266203703</v>
      </c>
      <c r="Q2131" s="16" t="s">
        <v>28</v>
      </c>
      <c r="R2131" s="17" t="s">
        <v>4942</v>
      </c>
      <c r="S2131" s="11"/>
      <c r="T2131" s="11"/>
      <c r="U2131" s="10" t="str">
        <f>HYPERLINK("https://pbs.twimg.com/profile_images/937615481602789376/OBa7YPsM.jpg","View")</f>
        <v>View</v>
      </c>
    </row>
    <row r="2132" spans="1:21" ht="122.4">
      <c r="A2132" s="6">
        <v>43424.485405092593</v>
      </c>
      <c r="B2132" s="7" t="str">
        <f>HYPERLINK("https://twitter.com/MSPE_Andalucia","@MSPE_Andalucia")</f>
        <v>@MSPE_Andalucia</v>
      </c>
      <c r="C2132" s="8" t="s">
        <v>4369</v>
      </c>
      <c r="D2132" s="9" t="s">
        <v>4946</v>
      </c>
      <c r="E2132" s="10" t="str">
        <f>HYPERLINK("https://twitter.com/MSPE_Andalucia/status/1064966354070093824","1064966354070093824")</f>
        <v>1064966354070093824</v>
      </c>
      <c r="F2132" s="16" t="s">
        <v>4947</v>
      </c>
      <c r="G2132" s="11"/>
      <c r="H2132" s="11"/>
      <c r="I2132" s="12">
        <v>3</v>
      </c>
      <c r="J2132" s="12">
        <v>4</v>
      </c>
      <c r="K2132" s="13" t="str">
        <f t="shared" si="443"/>
        <v>Twitter for Android</v>
      </c>
      <c r="L2132" s="12">
        <v>136</v>
      </c>
      <c r="M2132" s="12">
        <v>113</v>
      </c>
      <c r="N2132" s="12">
        <v>0</v>
      </c>
      <c r="O2132" s="15"/>
      <c r="P2132" s="6">
        <v>43280.015393518523</v>
      </c>
      <c r="Q2132" s="11"/>
      <c r="R2132" s="17" t="s">
        <v>4374</v>
      </c>
      <c r="S2132" s="11"/>
      <c r="T2132" s="11"/>
      <c r="U2132" s="10" t="str">
        <f>HYPERLINK("https://pbs.twimg.com/profile_images/1012598019978616832/OlAJNRNM.jpg","View")</f>
        <v>View</v>
      </c>
    </row>
    <row r="2133" spans="1:21" ht="30.6">
      <c r="A2133" s="6">
        <v>43424.485208333332</v>
      </c>
      <c r="B2133" s="7" t="str">
        <f>HYPERLINK("https://twitter.com/GranCanariaTv","@GranCanariaTv")</f>
        <v>@GranCanariaTv</v>
      </c>
      <c r="C2133" s="8" t="s">
        <v>5978</v>
      </c>
      <c r="D2133" s="9" t="s">
        <v>7959</v>
      </c>
      <c r="E2133" s="10" t="str">
        <f>HYPERLINK("https://twitter.com/GranCanariaTv/status/1064966281856761858","1064966281856761858")</f>
        <v>1064966281856761858</v>
      </c>
      <c r="F2133" s="14" t="s">
        <v>7960</v>
      </c>
      <c r="G2133" s="11"/>
      <c r="H2133" s="11"/>
      <c r="I2133" s="12">
        <v>0</v>
      </c>
      <c r="J2133" s="12">
        <v>0</v>
      </c>
      <c r="K2133" s="13" t="str">
        <f>HYPERLINK("http://twitter.com","Twitter Web Client")</f>
        <v>Twitter Web Client</v>
      </c>
      <c r="L2133" s="12">
        <v>5000</v>
      </c>
      <c r="M2133" s="12">
        <v>3356</v>
      </c>
      <c r="N2133" s="12">
        <v>99</v>
      </c>
      <c r="O2133" s="15"/>
      <c r="P2133" s="6">
        <v>40504.614155092597</v>
      </c>
      <c r="Q2133" s="16" t="s">
        <v>2190</v>
      </c>
      <c r="R2133" s="17" t="s">
        <v>5981</v>
      </c>
      <c r="S2133" s="14" t="s">
        <v>5982</v>
      </c>
      <c r="T2133" s="11"/>
      <c r="U2133" s="10" t="str">
        <f>HYPERLINK("https://pbs.twimg.com/profile_images/728335785527758848/RP6AGTBc.jpg","View")</f>
        <v>View</v>
      </c>
    </row>
    <row r="2134" spans="1:21" ht="30.6">
      <c r="A2134" s="6">
        <v>43424.482442129629</v>
      </c>
      <c r="B2134" s="7" t="str">
        <f>HYPERLINK("https://twitter.com/PresaLuis","@PresaLuis")</f>
        <v>@PresaLuis</v>
      </c>
      <c r="C2134" s="8" t="s">
        <v>4952</v>
      </c>
      <c r="D2134" s="9" t="s">
        <v>4953</v>
      </c>
      <c r="E2134" s="10" t="str">
        <f>HYPERLINK("https://twitter.com/PresaLuis/status/1064965278390501376","1064965278390501376")</f>
        <v>1064965278390501376</v>
      </c>
      <c r="F2134" s="11"/>
      <c r="G2134" s="11"/>
      <c r="H2134" s="11"/>
      <c r="I2134" s="12">
        <v>0</v>
      </c>
      <c r="J2134" s="12">
        <v>1</v>
      </c>
      <c r="K2134" s="13" t="str">
        <f t="shared" ref="K2134:K2135" si="444">HYPERLINK("http://twitter.com/download/iphone","Twitter for iPhone")</f>
        <v>Twitter for iPhone</v>
      </c>
      <c r="L2134" s="12">
        <v>84</v>
      </c>
      <c r="M2134" s="12">
        <v>507</v>
      </c>
      <c r="N2134" s="12">
        <v>3</v>
      </c>
      <c r="O2134" s="15"/>
      <c r="P2134" s="6">
        <v>41417.332939814813</v>
      </c>
      <c r="Q2134" s="11"/>
      <c r="R2134" s="17" t="s">
        <v>4954</v>
      </c>
      <c r="S2134" s="11"/>
      <c r="T2134" s="11"/>
      <c r="U2134" s="10" t="str">
        <f>HYPERLINK("https://pbs.twimg.com/profile_images/752952824779145216/VtqvyHSb.jpg","View")</f>
        <v>View</v>
      </c>
    </row>
    <row r="2135" spans="1:21" ht="40.799999999999997">
      <c r="A2135" s="6">
        <v>43424.481562500005</v>
      </c>
      <c r="B2135" s="7" t="str">
        <f>HYPERLINK("https://twitter.com/gredosdaniel","@gredosdaniel")</f>
        <v>@gredosdaniel</v>
      </c>
      <c r="C2135" s="8" t="s">
        <v>7961</v>
      </c>
      <c r="D2135" s="9" t="s">
        <v>7962</v>
      </c>
      <c r="E2135" s="10" t="str">
        <f>HYPERLINK("https://twitter.com/gredosdaniel/status/1064964959661162496","1064964959661162496")</f>
        <v>1064964959661162496</v>
      </c>
      <c r="F2135" s="14" t="s">
        <v>7963</v>
      </c>
      <c r="G2135" s="11"/>
      <c r="H2135" s="11"/>
      <c r="I2135" s="12">
        <v>3</v>
      </c>
      <c r="J2135" s="12">
        <v>9</v>
      </c>
      <c r="K2135" s="13" t="str">
        <f t="shared" si="444"/>
        <v>Twitter for iPhone</v>
      </c>
      <c r="L2135" s="12">
        <v>6537</v>
      </c>
      <c r="M2135" s="12">
        <v>4403</v>
      </c>
      <c r="N2135" s="12">
        <v>240</v>
      </c>
      <c r="O2135" s="15"/>
      <c r="P2135" s="6">
        <v>40399.626226851848</v>
      </c>
      <c r="Q2135" s="16" t="s">
        <v>7964</v>
      </c>
      <c r="R2135" s="17" t="s">
        <v>7965</v>
      </c>
      <c r="S2135" s="14" t="s">
        <v>7966</v>
      </c>
      <c r="T2135" s="11"/>
      <c r="U2135" s="10" t="str">
        <f>HYPERLINK("https://pbs.twimg.com/profile_images/1004488521757921285/ewJSOSez.jpg","View")</f>
        <v>View</v>
      </c>
    </row>
    <row r="2136" spans="1:21" ht="20.399999999999999">
      <c r="A2136" s="6">
        <v>43424.480694444443</v>
      </c>
      <c r="B2136" s="7" t="str">
        <f t="shared" ref="B2136:B2137" si="445">HYPERLINK("https://twitter.com/pascalgiovanni4","@pascalgiovanni4")</f>
        <v>@pascalgiovanni4</v>
      </c>
      <c r="C2136" s="8" t="s">
        <v>7967</v>
      </c>
      <c r="D2136" s="9" t="s">
        <v>7968</v>
      </c>
      <c r="E2136" s="10" t="str">
        <f>HYPERLINK("https://twitter.com/pascalgiovanni4/status/1064964646858297347","1064964646858297347")</f>
        <v>1064964646858297347</v>
      </c>
      <c r="F2136" s="14" t="s">
        <v>7969</v>
      </c>
      <c r="G2136" s="11"/>
      <c r="H2136" s="11"/>
      <c r="I2136" s="12">
        <v>0</v>
      </c>
      <c r="J2136" s="12">
        <v>0</v>
      </c>
      <c r="K2136" s="13" t="str">
        <f>HYPERLINK("http://www.facebook.com/twitter","Facebook")</f>
        <v>Facebook</v>
      </c>
      <c r="L2136" s="12">
        <v>230</v>
      </c>
      <c r="M2136" s="12">
        <v>878</v>
      </c>
      <c r="N2136" s="12">
        <v>1</v>
      </c>
      <c r="O2136" s="15"/>
      <c r="P2136" s="6">
        <v>42771.341331018513</v>
      </c>
      <c r="Q2136" s="16" t="s">
        <v>7970</v>
      </c>
      <c r="R2136" s="19"/>
      <c r="S2136" s="11"/>
      <c r="T2136" s="11"/>
      <c r="U2136" s="10" t="str">
        <f t="shared" ref="U2136:U2137" si="446">HYPERLINK("https://pbs.twimg.com/profile_images/842758117733683201/c_namZex.jpg","View")</f>
        <v>View</v>
      </c>
    </row>
    <row r="2137" spans="1:21" ht="20.399999999999999">
      <c r="A2137" s="6">
        <v>43424.480439814812</v>
      </c>
      <c r="B2137" s="7" t="str">
        <f t="shared" si="445"/>
        <v>@pascalgiovanni4</v>
      </c>
      <c r="C2137" s="8" t="s">
        <v>7967</v>
      </c>
      <c r="D2137" s="9" t="s">
        <v>7971</v>
      </c>
      <c r="E2137" s="10" t="str">
        <f>HYPERLINK("https://twitter.com/pascalgiovanni4/status/1064964555447697408","1064964555447697408")</f>
        <v>1064964555447697408</v>
      </c>
      <c r="F2137" s="14" t="s">
        <v>5336</v>
      </c>
      <c r="G2137" s="11"/>
      <c r="H2137" s="11"/>
      <c r="I2137" s="12">
        <v>0</v>
      </c>
      <c r="J2137" s="12">
        <v>0</v>
      </c>
      <c r="K2137" s="13" t="str">
        <f>HYPERLINK("http://twitter.com","Twitter Web Client")</f>
        <v>Twitter Web Client</v>
      </c>
      <c r="L2137" s="12">
        <v>230</v>
      </c>
      <c r="M2137" s="12">
        <v>878</v>
      </c>
      <c r="N2137" s="12">
        <v>1</v>
      </c>
      <c r="O2137" s="15"/>
      <c r="P2137" s="6">
        <v>42771.341331018513</v>
      </c>
      <c r="Q2137" s="16" t="s">
        <v>7970</v>
      </c>
      <c r="R2137" s="19"/>
      <c r="S2137" s="11"/>
      <c r="T2137" s="11"/>
      <c r="U2137" s="10" t="str">
        <f t="shared" si="446"/>
        <v>View</v>
      </c>
    </row>
    <row r="2138" spans="1:21" ht="51">
      <c r="A2138" s="6">
        <v>43424.479618055557</v>
      </c>
      <c r="B2138" s="7" t="str">
        <f>HYPERLINK("https://twitter.com/Pablo_Iglesias_","@Pablo_Iglesias_")</f>
        <v>@Pablo_Iglesias_</v>
      </c>
      <c r="C2138" s="8" t="s">
        <v>383</v>
      </c>
      <c r="D2138" s="9" t="s">
        <v>7972</v>
      </c>
      <c r="E2138" s="10" t="str">
        <f>HYPERLINK("https://twitter.com/Pablo_Iglesias_/status/1064964257324957701","1064964257324957701")</f>
        <v>1064964257324957701</v>
      </c>
      <c r="F2138" s="11"/>
      <c r="G2138" s="14" t="s">
        <v>3164</v>
      </c>
      <c r="H2138" s="11"/>
      <c r="I2138" s="12">
        <v>1595</v>
      </c>
      <c r="J2138" s="12">
        <v>2492</v>
      </c>
      <c r="K2138" s="13" t="str">
        <f>HYPERLINK("https://studio.twitter.com","Media Studio")</f>
        <v>Media Studio</v>
      </c>
      <c r="L2138" s="12">
        <v>2240182</v>
      </c>
      <c r="M2138" s="12">
        <v>2735</v>
      </c>
      <c r="N2138" s="12">
        <v>8469</v>
      </c>
      <c r="O2138" s="18" t="s">
        <v>52</v>
      </c>
      <c r="P2138" s="6">
        <v>40351.200300925928</v>
      </c>
      <c r="Q2138" s="16" t="s">
        <v>38</v>
      </c>
      <c r="R2138" s="17" t="s">
        <v>389</v>
      </c>
      <c r="S2138" s="14" t="s">
        <v>58</v>
      </c>
      <c r="T2138" s="11"/>
      <c r="U2138" s="10" t="str">
        <f>HYPERLINK("https://pbs.twimg.com/profile_images/902223370569338884/dL2D2A5P.jpg","View")</f>
        <v>View</v>
      </c>
    </row>
    <row r="2139" spans="1:21" ht="40.799999999999997">
      <c r="A2139" s="6">
        <v>43424.47923611111</v>
      </c>
      <c r="B2139" s="7" t="str">
        <f>HYPERLINK("https://twitter.com/EdificadosenEl","@EdificadosenEl")</f>
        <v>@EdificadosenEl</v>
      </c>
      <c r="C2139" s="8" t="s">
        <v>7973</v>
      </c>
      <c r="D2139" s="9" t="s">
        <v>7974</v>
      </c>
      <c r="E2139" s="10" t="str">
        <f>HYPERLINK("https://twitter.com/EdificadosenEl/status/1064964119474913280","1064964119474913280")</f>
        <v>1064964119474913280</v>
      </c>
      <c r="F2139" s="14" t="s">
        <v>7975</v>
      </c>
      <c r="G2139" s="11"/>
      <c r="H2139" s="11"/>
      <c r="I2139" s="12">
        <v>0</v>
      </c>
      <c r="J2139" s="12">
        <v>0</v>
      </c>
      <c r="K2139" s="13" t="str">
        <f>HYPERLINK("http://twitter.com/download/android","Twitter for Android")</f>
        <v>Twitter for Android</v>
      </c>
      <c r="L2139" s="12">
        <v>25</v>
      </c>
      <c r="M2139" s="12">
        <v>72</v>
      </c>
      <c r="N2139" s="12">
        <v>1</v>
      </c>
      <c r="O2139" s="15"/>
      <c r="P2139" s="6">
        <v>43259.540497685186</v>
      </c>
      <c r="Q2139" s="16" t="s">
        <v>7976</v>
      </c>
      <c r="R2139" s="17" t="s">
        <v>7977</v>
      </c>
      <c r="S2139" s="11"/>
      <c r="T2139" s="11"/>
      <c r="U2139" s="10" t="str">
        <f>HYPERLINK("https://pbs.twimg.com/profile_images/1062507055892836352/iYw4FUql.jpg","View")</f>
        <v>View</v>
      </c>
    </row>
    <row r="2140" spans="1:21" ht="20.399999999999999">
      <c r="A2140" s="6">
        <v>43424.478391203702</v>
      </c>
      <c r="B2140" s="7" t="str">
        <f>HYPERLINK("https://twitter.com/Britovius","@Britovius")</f>
        <v>@Britovius</v>
      </c>
      <c r="C2140" s="8" t="s">
        <v>7978</v>
      </c>
      <c r="D2140" s="9" t="s">
        <v>7979</v>
      </c>
      <c r="E2140" s="10" t="str">
        <f>HYPERLINK("https://twitter.com/Britovius/status/1064963811730497537","1064963811730497537")</f>
        <v>1064963811730497537</v>
      </c>
      <c r="F2140" s="14" t="s">
        <v>7832</v>
      </c>
      <c r="G2140" s="11"/>
      <c r="H2140" s="11"/>
      <c r="I2140" s="12">
        <v>1</v>
      </c>
      <c r="J2140" s="12">
        <v>0</v>
      </c>
      <c r="K2140" s="13" t="str">
        <f>HYPERLINK("http://twitter.com","Twitter Web Client")</f>
        <v>Twitter Web Client</v>
      </c>
      <c r="L2140" s="12">
        <v>1446</v>
      </c>
      <c r="M2140" s="12">
        <v>1810</v>
      </c>
      <c r="N2140" s="12">
        <v>27</v>
      </c>
      <c r="O2140" s="15"/>
      <c r="P2140" s="6">
        <v>40520.682905092595</v>
      </c>
      <c r="Q2140" s="16" t="s">
        <v>7980</v>
      </c>
      <c r="R2140" s="17" t="s">
        <v>7981</v>
      </c>
      <c r="S2140" s="11"/>
      <c r="T2140" s="11"/>
      <c r="U2140" s="10" t="str">
        <f>HYPERLINK("https://pbs.twimg.com/profile_images/914594907049873408/B029HcZM.jpg","View")</f>
        <v>View</v>
      </c>
    </row>
    <row r="2141" spans="1:21" ht="20.399999999999999">
      <c r="A2141" s="6">
        <v>43424.477118055554</v>
      </c>
      <c r="B2141" s="7" t="str">
        <f>HYPERLINK("https://twitter.com/AsiEsValladolid","@AsiEsValladolid")</f>
        <v>@AsiEsValladolid</v>
      </c>
      <c r="C2141" s="8" t="s">
        <v>7982</v>
      </c>
      <c r="D2141" s="9" t="s">
        <v>7983</v>
      </c>
      <c r="E2141" s="10" t="str">
        <f>HYPERLINK("https://twitter.com/AsiEsValladolid/status/1064963350793093120","1064963350793093120")</f>
        <v>1064963350793093120</v>
      </c>
      <c r="F2141" s="14" t="s">
        <v>7984</v>
      </c>
      <c r="G2141" s="11"/>
      <c r="H2141" s="11"/>
      <c r="I2141" s="12">
        <v>0</v>
      </c>
      <c r="J2141" s="12">
        <v>0</v>
      </c>
      <c r="K2141" s="13" t="str">
        <f>HYPERLINK("https://dlvrit.com/","dlvr.it")</f>
        <v>dlvr.it</v>
      </c>
      <c r="L2141" s="12">
        <v>1509</v>
      </c>
      <c r="M2141" s="12">
        <v>864</v>
      </c>
      <c r="N2141" s="12">
        <v>843</v>
      </c>
      <c r="O2141" s="15"/>
      <c r="P2141" s="6">
        <v>42025.458657407406</v>
      </c>
      <c r="Q2141" s="16" t="s">
        <v>1945</v>
      </c>
      <c r="R2141" s="17" t="s">
        <v>7985</v>
      </c>
      <c r="S2141" s="11"/>
      <c r="T2141" s="11"/>
      <c r="U2141" s="10" t="str">
        <f>HYPERLINK("https://pbs.twimg.com/profile_images/557980662926295040/9YCZ5tOd.jpeg","View")</f>
        <v>View</v>
      </c>
    </row>
    <row r="2142" spans="1:21" ht="30.6">
      <c r="A2142" s="6">
        <v>43424.476655092592</v>
      </c>
      <c r="B2142" s="7" t="str">
        <f>HYPERLINK("https://twitter.com/TribunaSal","@TribunaSal")</f>
        <v>@TribunaSal</v>
      </c>
      <c r="C2142" s="8" t="s">
        <v>7986</v>
      </c>
      <c r="D2142" s="9" t="s">
        <v>7987</v>
      </c>
      <c r="E2142" s="10" t="str">
        <f>HYPERLINK("https://twitter.com/TribunaSal/status/1064963183738277894","1064963183738277894")</f>
        <v>1064963183738277894</v>
      </c>
      <c r="F2142" s="14" t="s">
        <v>7988</v>
      </c>
      <c r="G2142" s="14" t="s">
        <v>7989</v>
      </c>
      <c r="H2142" s="11"/>
      <c r="I2142" s="12">
        <v>0</v>
      </c>
      <c r="J2142" s="12">
        <v>0</v>
      </c>
      <c r="K2142" s="13" t="str">
        <f>HYPERLINK("https://about.twitter.com/products/tweetdeck","TweetDeck")</f>
        <v>TweetDeck</v>
      </c>
      <c r="L2142" s="12">
        <v>17984</v>
      </c>
      <c r="M2142" s="12">
        <v>3387</v>
      </c>
      <c r="N2142" s="12">
        <v>325</v>
      </c>
      <c r="O2142" s="15"/>
      <c r="P2142" s="6">
        <v>40688.519618055558</v>
      </c>
      <c r="Q2142" s="16" t="s">
        <v>1998</v>
      </c>
      <c r="R2142" s="17" t="s">
        <v>7990</v>
      </c>
      <c r="S2142" s="14" t="s">
        <v>7991</v>
      </c>
      <c r="T2142" s="11"/>
      <c r="U2142" s="10" t="str">
        <f>HYPERLINK("https://pbs.twimg.com/profile_images/1065553174046654464/B1w3VqdX.jpg","View")</f>
        <v>View</v>
      </c>
    </row>
    <row r="2143" spans="1:21" ht="40.799999999999997">
      <c r="A2143" s="6">
        <v>43424.476064814815</v>
      </c>
      <c r="B2143" s="7" t="str">
        <f>HYPERLINK("https://twitter.com/NemesisSXX","@NemesisSXX")</f>
        <v>@NemesisSXX</v>
      </c>
      <c r="C2143" s="8" t="s">
        <v>2512</v>
      </c>
      <c r="D2143" s="9" t="s">
        <v>7058</v>
      </c>
      <c r="E2143" s="10" t="str">
        <f>HYPERLINK("https://twitter.com/NemesisSXX/status/1064962970990587905","1064962970990587905")</f>
        <v>1064962970990587905</v>
      </c>
      <c r="F2143" s="14" t="s">
        <v>7059</v>
      </c>
      <c r="G2143" s="11"/>
      <c r="H2143" s="11"/>
      <c r="I2143" s="12">
        <v>0</v>
      </c>
      <c r="J2143" s="12">
        <v>0</v>
      </c>
      <c r="K2143" s="13" t="str">
        <f>HYPERLINK("http://twitter.com","Twitter Web Client")</f>
        <v>Twitter Web Client</v>
      </c>
      <c r="L2143" s="12">
        <v>145</v>
      </c>
      <c r="M2143" s="12">
        <v>185</v>
      </c>
      <c r="N2143" s="12">
        <v>3</v>
      </c>
      <c r="O2143" s="15"/>
      <c r="P2143" s="6">
        <v>41804.368564814817</v>
      </c>
      <c r="Q2143" s="11"/>
      <c r="R2143" s="17" t="s">
        <v>2516</v>
      </c>
      <c r="S2143" s="11"/>
      <c r="T2143" s="11"/>
      <c r="U2143" s="18" t="s">
        <v>168</v>
      </c>
    </row>
    <row r="2144" spans="1:21" ht="20.399999999999999">
      <c r="A2144" s="6">
        <v>43424.475960648153</v>
      </c>
      <c r="B2144" s="7" t="str">
        <f>HYPERLINK("https://twitter.com/18dejulio36","@18dejulio36")</f>
        <v>@18dejulio36</v>
      </c>
      <c r="C2144" s="8" t="s">
        <v>7992</v>
      </c>
      <c r="D2144" s="9" t="s">
        <v>6607</v>
      </c>
      <c r="E2144" s="10" t="str">
        <f>HYPERLINK("https://twitter.com/18dejulio36/status/1064962929144016897","1064962929144016897")</f>
        <v>1064962929144016897</v>
      </c>
      <c r="F2144" s="14" t="s">
        <v>6608</v>
      </c>
      <c r="G2144" s="11"/>
      <c r="H2144" s="11"/>
      <c r="I2144" s="12">
        <v>0</v>
      </c>
      <c r="J2144" s="12">
        <v>0</v>
      </c>
      <c r="K2144" s="13" t="str">
        <f t="shared" ref="K2144:K2145" si="447">HYPERLINK("http://twitter.com/download/android","Twitter for Android")</f>
        <v>Twitter for Android</v>
      </c>
      <c r="L2144" s="12">
        <v>1320</v>
      </c>
      <c r="M2144" s="12">
        <v>641</v>
      </c>
      <c r="N2144" s="12">
        <v>83</v>
      </c>
      <c r="O2144" s="15"/>
      <c r="P2144" s="6">
        <v>41509.135497685187</v>
      </c>
      <c r="Q2144" s="16" t="s">
        <v>7993</v>
      </c>
      <c r="R2144" s="17" t="s">
        <v>7994</v>
      </c>
      <c r="S2144" s="11"/>
      <c r="T2144" s="11"/>
      <c r="U2144" s="10" t="str">
        <f>HYPERLINK("https://pbs.twimg.com/profile_images/647371484000845824/XCHRL0HG.jpg","View")</f>
        <v>View</v>
      </c>
    </row>
    <row r="2145" spans="1:21" ht="112.2">
      <c r="A2145" s="6">
        <v>43424.473437499997</v>
      </c>
      <c r="B2145" s="7" t="str">
        <f>HYPERLINK("https://twitter.com/elubarri22","@elubarri22")</f>
        <v>@elubarri22</v>
      </c>
      <c r="C2145" s="8" t="s">
        <v>4014</v>
      </c>
      <c r="D2145" s="9" t="s">
        <v>4959</v>
      </c>
      <c r="E2145" s="10" t="str">
        <f>HYPERLINK("https://twitter.com/elubarri22/status/1064962017440743424","1064962017440743424")</f>
        <v>1064962017440743424</v>
      </c>
      <c r="F2145" s="14" t="s">
        <v>4960</v>
      </c>
      <c r="G2145" s="14" t="s">
        <v>4961</v>
      </c>
      <c r="H2145" s="11"/>
      <c r="I2145" s="12">
        <v>0</v>
      </c>
      <c r="J2145" s="12">
        <v>0</v>
      </c>
      <c r="K2145" s="13" t="str">
        <f t="shared" si="447"/>
        <v>Twitter for Android</v>
      </c>
      <c r="L2145" s="12">
        <v>177</v>
      </c>
      <c r="M2145" s="12">
        <v>301</v>
      </c>
      <c r="N2145" s="12">
        <v>1</v>
      </c>
      <c r="O2145" s="15"/>
      <c r="P2145" s="6">
        <v>43385.397233796291</v>
      </c>
      <c r="Q2145" s="11"/>
      <c r="R2145" s="17" t="s">
        <v>4017</v>
      </c>
      <c r="S2145" s="11"/>
      <c r="T2145" s="11"/>
      <c r="U2145" s="10" t="str">
        <f>HYPERLINK("https://pbs.twimg.com/profile_images/1052199148911558656/rtI-mX2S.jpg","View")</f>
        <v>View</v>
      </c>
    </row>
    <row r="2146" spans="1:21" ht="51">
      <c r="A2146" s="6">
        <v>43424.473055555558</v>
      </c>
      <c r="B2146" s="7" t="str">
        <f>HYPERLINK("https://twitter.com/bugallego","@bugallego")</f>
        <v>@bugallego</v>
      </c>
      <c r="C2146" s="8" t="s">
        <v>7995</v>
      </c>
      <c r="D2146" s="9" t="s">
        <v>7996</v>
      </c>
      <c r="E2146" s="10" t="str">
        <f>HYPERLINK("https://twitter.com/bugallego/status/1064961878001106945","1064961878001106945")</f>
        <v>1064961878001106945</v>
      </c>
      <c r="F2146" s="11"/>
      <c r="G2146" s="11"/>
      <c r="H2146" s="11"/>
      <c r="I2146" s="12">
        <v>0</v>
      </c>
      <c r="J2146" s="12">
        <v>0</v>
      </c>
      <c r="K2146" s="13" t="str">
        <f>HYPERLINK("http://twitter.com/download/iphone","Twitter for iPhone")</f>
        <v>Twitter for iPhone</v>
      </c>
      <c r="L2146" s="12">
        <v>896</v>
      </c>
      <c r="M2146" s="12">
        <v>2076</v>
      </c>
      <c r="N2146" s="12">
        <v>48</v>
      </c>
      <c r="O2146" s="15"/>
      <c r="P2146" s="6">
        <v>41268.213877314818</v>
      </c>
      <c r="Q2146" s="16" t="s">
        <v>7997</v>
      </c>
      <c r="R2146" s="19"/>
      <c r="S2146" s="11"/>
      <c r="T2146" s="11"/>
      <c r="U2146" s="10" t="str">
        <f>HYPERLINK("https://pbs.twimg.com/profile_images/649499656670564352/wMuIX5o7.jpg","View")</f>
        <v>View</v>
      </c>
    </row>
    <row r="2147" spans="1:21" ht="40.799999999999997">
      <c r="A2147" s="6">
        <v>43424.472650462965</v>
      </c>
      <c r="B2147" s="7" t="str">
        <f>HYPERLINK("https://twitter.com/NemesisSXX","@NemesisSXX")</f>
        <v>@NemesisSXX</v>
      </c>
      <c r="C2147" s="8" t="s">
        <v>2512</v>
      </c>
      <c r="D2147" s="9" t="s">
        <v>7848</v>
      </c>
      <c r="E2147" s="10" t="str">
        <f>HYPERLINK("https://twitter.com/NemesisSXX/status/1064961732886634503","1064961732886634503")</f>
        <v>1064961732886634503</v>
      </c>
      <c r="F2147" s="14" t="s">
        <v>2122</v>
      </c>
      <c r="G2147" s="11"/>
      <c r="H2147" s="11"/>
      <c r="I2147" s="12">
        <v>0</v>
      </c>
      <c r="J2147" s="12">
        <v>0</v>
      </c>
      <c r="K2147" s="13" t="str">
        <f>HYPERLINK("http://twitter.com","Twitter Web Client")</f>
        <v>Twitter Web Client</v>
      </c>
      <c r="L2147" s="12">
        <v>145</v>
      </c>
      <c r="M2147" s="12">
        <v>185</v>
      </c>
      <c r="N2147" s="12">
        <v>3</v>
      </c>
      <c r="O2147" s="15"/>
      <c r="P2147" s="6">
        <v>41804.368564814817</v>
      </c>
      <c r="Q2147" s="11"/>
      <c r="R2147" s="17" t="s">
        <v>2516</v>
      </c>
      <c r="S2147" s="11"/>
      <c r="T2147" s="11"/>
      <c r="U2147" s="18" t="s">
        <v>168</v>
      </c>
    </row>
    <row r="2148" spans="1:21" ht="30.6">
      <c r="A2148" s="6">
        <v>43424.472094907411</v>
      </c>
      <c r="B2148" s="7" t="str">
        <f>HYPERLINK("https://twitter.com/Nemesiswings","@Nemesiswings")</f>
        <v>@Nemesiswings</v>
      </c>
      <c r="C2148" s="8" t="s">
        <v>6122</v>
      </c>
      <c r="D2148" s="9" t="s">
        <v>7998</v>
      </c>
      <c r="E2148" s="10" t="str">
        <f>HYPERLINK("https://twitter.com/Nemesiswings/status/1064961529764818944","1064961529764818944")</f>
        <v>1064961529764818944</v>
      </c>
      <c r="F2148" s="11"/>
      <c r="G2148" s="11"/>
      <c r="H2148" s="11"/>
      <c r="I2148" s="12">
        <v>0</v>
      </c>
      <c r="J2148" s="12">
        <v>0</v>
      </c>
      <c r="K2148" s="13" t="str">
        <f>HYPERLINK("https://about.twitter.com/products/tweetdeck","TweetDeck")</f>
        <v>TweetDeck</v>
      </c>
      <c r="L2148" s="12">
        <v>788</v>
      </c>
      <c r="M2148" s="12">
        <v>150</v>
      </c>
      <c r="N2148" s="12">
        <v>10</v>
      </c>
      <c r="O2148" s="15"/>
      <c r="P2148" s="6">
        <v>42024.124351851853</v>
      </c>
      <c r="Q2148" s="11"/>
      <c r="R2148" s="17" t="s">
        <v>6127</v>
      </c>
      <c r="S2148" s="11"/>
      <c r="T2148" s="11"/>
      <c r="U2148" s="10" t="str">
        <f>HYPERLINK("https://pbs.twimg.com/profile_images/559451726944563200/6nQFi-CR.jpeg","View")</f>
        <v>View</v>
      </c>
    </row>
    <row r="2149" spans="1:21" ht="40.799999999999997">
      <c r="A2149" s="6">
        <v>43424.471944444449</v>
      </c>
      <c r="B2149" s="7" t="str">
        <f>HYPERLINK("https://twitter.com/fenixssf","@fenixssf")</f>
        <v>@fenixssf</v>
      </c>
      <c r="C2149" s="8" t="s">
        <v>7999</v>
      </c>
      <c r="D2149" s="9" t="s">
        <v>8000</v>
      </c>
      <c r="E2149" s="10" t="str">
        <f>HYPERLINK("https://twitter.com/fenixssf/status/1064961474005819392","1064961474005819392")</f>
        <v>1064961474005819392</v>
      </c>
      <c r="F2149" s="14" t="s">
        <v>5108</v>
      </c>
      <c r="G2149" s="11"/>
      <c r="H2149" s="11"/>
      <c r="I2149" s="12">
        <v>39</v>
      </c>
      <c r="J2149" s="12">
        <v>30</v>
      </c>
      <c r="K2149" s="13" t="str">
        <f>HYPERLINK("http://twitter.com/download/android","Twitter for Android")</f>
        <v>Twitter for Android</v>
      </c>
      <c r="L2149" s="12">
        <v>1143</v>
      </c>
      <c r="M2149" s="12">
        <v>1097</v>
      </c>
      <c r="N2149" s="12">
        <v>27</v>
      </c>
      <c r="O2149" s="15"/>
      <c r="P2149" s="6">
        <v>42561.385509259257</v>
      </c>
      <c r="Q2149" s="16" t="s">
        <v>8001</v>
      </c>
      <c r="R2149" s="17" t="s">
        <v>8002</v>
      </c>
      <c r="S2149" s="14" t="s">
        <v>8003</v>
      </c>
      <c r="T2149" s="11"/>
      <c r="U2149" s="10" t="str">
        <f>HYPERLINK("https://pbs.twimg.com/profile_images/1010234797216628737/6lcTzpO0.jpg","View")</f>
        <v>View</v>
      </c>
    </row>
    <row r="2150" spans="1:21" ht="20.399999999999999">
      <c r="A2150" s="6">
        <v>43424.471296296295</v>
      </c>
      <c r="B2150" s="7" t="str">
        <f>HYPERLINK("https://twitter.com/Avilared","@Avilared")</f>
        <v>@Avilared</v>
      </c>
      <c r="C2150" s="8" t="s">
        <v>8004</v>
      </c>
      <c r="D2150" s="9" t="s">
        <v>8005</v>
      </c>
      <c r="E2150" s="10" t="str">
        <f>HYPERLINK("https://twitter.com/Avilared/status/1064961240232062976","1064961240232062976")</f>
        <v>1064961240232062976</v>
      </c>
      <c r="F2150" s="14" t="s">
        <v>7963</v>
      </c>
      <c r="G2150" s="14" t="s">
        <v>8006</v>
      </c>
      <c r="H2150" s="11"/>
      <c r="I2150" s="12">
        <v>0</v>
      </c>
      <c r="J2150" s="12">
        <v>1</v>
      </c>
      <c r="K2150" s="13" t="str">
        <f>HYPERLINK("https://www.hootsuite.com","Hootsuite Inc.")</f>
        <v>Hootsuite Inc.</v>
      </c>
      <c r="L2150" s="12">
        <v>8402</v>
      </c>
      <c r="M2150" s="12">
        <v>97</v>
      </c>
      <c r="N2150" s="12">
        <v>143</v>
      </c>
      <c r="O2150" s="15"/>
      <c r="P2150" s="6">
        <v>40998.138842592591</v>
      </c>
      <c r="Q2150" s="11"/>
      <c r="R2150" s="17" t="s">
        <v>8007</v>
      </c>
      <c r="S2150" s="14" t="s">
        <v>8008</v>
      </c>
      <c r="T2150" s="11"/>
      <c r="U2150" s="10" t="str">
        <f>HYPERLINK("https://pbs.twimg.com/profile_images/2322861616/mpum1slsy5al784nkxom.png","View")</f>
        <v>View</v>
      </c>
    </row>
    <row r="2151" spans="1:21" ht="20.399999999999999">
      <c r="A2151" s="6">
        <v>43424.470775462964</v>
      </c>
      <c r="B2151" s="7" t="str">
        <f>HYPERLINK("https://twitter.com/gomez_karro","@gomez_karro")</f>
        <v>@gomez_karro</v>
      </c>
      <c r="C2151" s="8" t="s">
        <v>4967</v>
      </c>
      <c r="D2151" s="9" t="s">
        <v>4968</v>
      </c>
      <c r="E2151" s="10" t="str">
        <f>HYPERLINK("https://twitter.com/gomez_karro/status/1064961051056320513","1064961051056320513")</f>
        <v>1064961051056320513</v>
      </c>
      <c r="F2151" s="11"/>
      <c r="G2151" s="14" t="s">
        <v>4970</v>
      </c>
      <c r="H2151" s="11"/>
      <c r="I2151" s="12">
        <v>0</v>
      </c>
      <c r="J2151" s="12">
        <v>0</v>
      </c>
      <c r="K2151" s="13" t="str">
        <f>HYPERLINK("http://twitter.com/download/android","Twitter for Android")</f>
        <v>Twitter for Android</v>
      </c>
      <c r="L2151" s="12">
        <v>529</v>
      </c>
      <c r="M2151" s="12">
        <v>788</v>
      </c>
      <c r="N2151" s="12">
        <v>7</v>
      </c>
      <c r="O2151" s="15"/>
      <c r="P2151" s="6">
        <v>42556.975023148145</v>
      </c>
      <c r="Q2151" s="16" t="s">
        <v>93</v>
      </c>
      <c r="R2151" s="17" t="s">
        <v>4973</v>
      </c>
      <c r="S2151" s="11"/>
      <c r="T2151" s="11"/>
      <c r="U2151" s="10" t="str">
        <f>HYPERLINK("https://pbs.twimg.com/profile_images/931346002648485888/sJWAb3LQ.jpg","View")</f>
        <v>View</v>
      </c>
    </row>
    <row r="2152" spans="1:21" ht="20.399999999999999">
      <c r="A2152" s="6">
        <v>43424.470300925925</v>
      </c>
      <c r="B2152" s="7" t="str">
        <f>HYPERLINK("https://twitter.com/RTn_avila","@RTn_avila")</f>
        <v>@RTn_avila</v>
      </c>
      <c r="C2152" s="8" t="s">
        <v>8009</v>
      </c>
      <c r="D2152" s="9" t="s">
        <v>8010</v>
      </c>
      <c r="E2152" s="10" t="str">
        <f>HYPERLINK("https://twitter.com/RTn_avila/status/1064960878557188096","1064960878557188096")</f>
        <v>1064960878557188096</v>
      </c>
      <c r="F2152" s="14" t="s">
        <v>8011</v>
      </c>
      <c r="G2152" s="11"/>
      <c r="H2152" s="11"/>
      <c r="I2152" s="12">
        <v>0</v>
      </c>
      <c r="J2152" s="12">
        <v>0</v>
      </c>
      <c r="K2152" s="13" t="str">
        <f>HYPERLINK("https://ifttt.com","IFTTT")</f>
        <v>IFTTT</v>
      </c>
      <c r="L2152" s="12">
        <v>496</v>
      </c>
      <c r="M2152" s="12">
        <v>857</v>
      </c>
      <c r="N2152" s="12">
        <v>10</v>
      </c>
      <c r="O2152" s="15"/>
      <c r="P2152" s="6">
        <v>42407.707175925927</v>
      </c>
      <c r="Q2152" s="16" t="s">
        <v>8012</v>
      </c>
      <c r="R2152" s="17" t="s">
        <v>8013</v>
      </c>
      <c r="S2152" s="14" t="s">
        <v>8014</v>
      </c>
      <c r="T2152" s="11"/>
      <c r="U2152" s="10" t="str">
        <f>HYPERLINK("https://pbs.twimg.com/profile_images/907067097401909248/7lbPCqvL.jpg","View")</f>
        <v>View</v>
      </c>
    </row>
    <row r="2153" spans="1:21" ht="40.799999999999997">
      <c r="A2153" s="6">
        <v>43424.468807870369</v>
      </c>
      <c r="B2153" s="7" t="str">
        <f>HYPERLINK("https://twitter.com/deseofollar","@deseofollar")</f>
        <v>@deseofollar</v>
      </c>
      <c r="C2153" s="8" t="s">
        <v>8015</v>
      </c>
      <c r="D2153" s="9" t="s">
        <v>8016</v>
      </c>
      <c r="E2153" s="10" t="str">
        <f>HYPERLINK("https://twitter.com/deseofollar/status/1064960337294909440","1064960337294909440")</f>
        <v>1064960337294909440</v>
      </c>
      <c r="F2153" s="14" t="s">
        <v>8017</v>
      </c>
      <c r="G2153" s="11"/>
      <c r="H2153" s="11"/>
      <c r="I2153" s="12">
        <v>0</v>
      </c>
      <c r="J2153" s="12">
        <v>0</v>
      </c>
      <c r="K2153" s="13" t="str">
        <f>HYPERLINK("https://www.gremlinsocial.com","Gremlin Social")</f>
        <v>Gremlin Social</v>
      </c>
      <c r="L2153" s="12">
        <v>3791</v>
      </c>
      <c r="M2153" s="12">
        <v>500</v>
      </c>
      <c r="N2153" s="12">
        <v>19</v>
      </c>
      <c r="O2153" s="15"/>
      <c r="P2153" s="6">
        <v>41685.972430555557</v>
      </c>
      <c r="Q2153" s="16" t="s">
        <v>123</v>
      </c>
      <c r="R2153" s="17" t="s">
        <v>8018</v>
      </c>
      <c r="S2153" s="14" t="s">
        <v>8019</v>
      </c>
      <c r="T2153" s="11"/>
      <c r="U2153" s="10" t="str">
        <f>HYPERLINK("https://pbs.twimg.com/profile_images/1006775867018760195/V1bZoHx_.jpg","View")</f>
        <v>View</v>
      </c>
    </row>
    <row r="2154" spans="1:21" ht="40.799999999999997">
      <c r="A2154" s="6">
        <v>43424.46702546296</v>
      </c>
      <c r="B2154" s="7" t="str">
        <f>HYPERLINK("https://twitter.com/misterdonpablo","@misterdonpablo")</f>
        <v>@misterdonpablo</v>
      </c>
      <c r="C2154" s="8" t="s">
        <v>587</v>
      </c>
      <c r="D2154" s="9" t="s">
        <v>4975</v>
      </c>
      <c r="E2154" s="10" t="str">
        <f>HYPERLINK("https://twitter.com/misterdonpablo/status/1064959693586657280","1064959693586657280")</f>
        <v>1064959693586657280</v>
      </c>
      <c r="F2154" s="11"/>
      <c r="G2154" s="11"/>
      <c r="H2154" s="11"/>
      <c r="I2154" s="12">
        <v>53</v>
      </c>
      <c r="J2154" s="12">
        <v>68</v>
      </c>
      <c r="K2154" s="13" t="str">
        <f>HYPERLINK("http://twitter.com/download/iphone","Twitter for iPhone")</f>
        <v>Twitter for iPhone</v>
      </c>
      <c r="L2154" s="12">
        <v>7842</v>
      </c>
      <c r="M2154" s="12">
        <v>8515</v>
      </c>
      <c r="N2154" s="12">
        <v>15</v>
      </c>
      <c r="O2154" s="15"/>
      <c r="P2154" s="6">
        <v>42242.587083333332</v>
      </c>
      <c r="Q2154" s="11"/>
      <c r="R2154" s="19"/>
      <c r="S2154" s="11"/>
      <c r="T2154" s="11"/>
      <c r="U2154" s="10" t="str">
        <f>HYPERLINK("https://pbs.twimg.com/profile_images/636646791878995969/Fpg5rJ84.jpg","View")</f>
        <v>View</v>
      </c>
    </row>
    <row r="2155" spans="1:21" ht="20.399999999999999">
      <c r="A2155" s="6">
        <v>43424.466956018514</v>
      </c>
      <c r="B2155" s="7" t="str">
        <f>HYPERLINK("https://twitter.com/jhdez123","@jhdez123")</f>
        <v>@jhdez123</v>
      </c>
      <c r="C2155" s="8" t="s">
        <v>8020</v>
      </c>
      <c r="D2155" s="9" t="s">
        <v>8021</v>
      </c>
      <c r="E2155" s="10" t="str">
        <f>HYPERLINK("https://twitter.com/jhdez123/status/1064959669792194560","1064959669792194560")</f>
        <v>1064959669792194560</v>
      </c>
      <c r="F2155" s="14" t="s">
        <v>8022</v>
      </c>
      <c r="G2155" s="11"/>
      <c r="H2155" s="11"/>
      <c r="I2155" s="12">
        <v>0</v>
      </c>
      <c r="J2155" s="12">
        <v>0</v>
      </c>
      <c r="K2155" s="13" t="str">
        <f t="shared" ref="K2155:K2156" si="448">HYPERLINK("http://twitter.com","Twitter Web Client")</f>
        <v>Twitter Web Client</v>
      </c>
      <c r="L2155" s="12">
        <v>51</v>
      </c>
      <c r="M2155" s="12">
        <v>244</v>
      </c>
      <c r="N2155" s="12">
        <v>2</v>
      </c>
      <c r="O2155" s="15"/>
      <c r="P2155" s="6">
        <v>41276.817326388889</v>
      </c>
      <c r="Q2155" s="16" t="s">
        <v>8023</v>
      </c>
      <c r="R2155" s="19"/>
      <c r="S2155" s="11"/>
      <c r="T2155" s="11"/>
      <c r="U2155" s="18" t="s">
        <v>168</v>
      </c>
    </row>
    <row r="2156" spans="1:21" ht="20.399999999999999">
      <c r="A2156" s="6">
        <v>43424.463622685187</v>
      </c>
      <c r="B2156" s="7" t="str">
        <f>HYPERLINK("https://twitter.com/joseantoniogo43","@joseantoniogo43")</f>
        <v>@joseantoniogo43</v>
      </c>
      <c r="C2156" s="8" t="s">
        <v>5900</v>
      </c>
      <c r="D2156" s="9" t="s">
        <v>8024</v>
      </c>
      <c r="E2156" s="10" t="str">
        <f>HYPERLINK("https://twitter.com/joseantoniogo43/status/1064958460079599616","1064958460079599616")</f>
        <v>1064958460079599616</v>
      </c>
      <c r="F2156" s="14" t="s">
        <v>8025</v>
      </c>
      <c r="G2156" s="11"/>
      <c r="H2156" s="11"/>
      <c r="I2156" s="12">
        <v>1</v>
      </c>
      <c r="J2156" s="12">
        <v>0</v>
      </c>
      <c r="K2156" s="13" t="str">
        <f t="shared" si="448"/>
        <v>Twitter Web Client</v>
      </c>
      <c r="L2156" s="12">
        <v>4100</v>
      </c>
      <c r="M2156" s="12">
        <v>4242</v>
      </c>
      <c r="N2156" s="12">
        <v>39</v>
      </c>
      <c r="O2156" s="15"/>
      <c r="P2156" s="6">
        <v>40845.120509259257</v>
      </c>
      <c r="Q2156" s="11"/>
      <c r="R2156" s="19"/>
      <c r="S2156" s="11"/>
      <c r="T2156" s="11"/>
      <c r="U2156" s="10" t="str">
        <f>HYPERLINK("https://pbs.twimg.com/profile_images/3576388686/a66d7c55b1a8af804079aea3e66d3f4f.jpeg","View")</f>
        <v>View</v>
      </c>
    </row>
    <row r="2157" spans="1:21" ht="71.400000000000006">
      <c r="A2157" s="6">
        <v>43424.463379629626</v>
      </c>
      <c r="B2157" s="7" t="str">
        <f>HYPERLINK("https://twitter.com/vdelestal","@vdelestal")</f>
        <v>@vdelestal</v>
      </c>
      <c r="C2157" s="8" t="s">
        <v>4976</v>
      </c>
      <c r="D2157" s="9" t="s">
        <v>4977</v>
      </c>
      <c r="E2157" s="10" t="str">
        <f>HYPERLINK("https://twitter.com/vdelestal/status/1064958370623483905","1064958370623483905")</f>
        <v>1064958370623483905</v>
      </c>
      <c r="F2157" s="16" t="s">
        <v>4978</v>
      </c>
      <c r="G2157" s="11"/>
      <c r="H2157" s="11"/>
      <c r="I2157" s="12">
        <v>0</v>
      </c>
      <c r="J2157" s="12">
        <v>0</v>
      </c>
      <c r="K2157" s="13" t="str">
        <f>HYPERLINK("http://twitter.com/download/iphone","Twitter for iPhone")</f>
        <v>Twitter for iPhone</v>
      </c>
      <c r="L2157" s="12">
        <v>334</v>
      </c>
      <c r="M2157" s="12">
        <v>588</v>
      </c>
      <c r="N2157" s="12">
        <v>11</v>
      </c>
      <c r="O2157" s="15"/>
      <c r="P2157" s="6">
        <v>42088.564710648148</v>
      </c>
      <c r="Q2157" s="11"/>
      <c r="R2157" s="17" t="s">
        <v>4979</v>
      </c>
      <c r="S2157" s="11"/>
      <c r="T2157" s="11"/>
      <c r="U2157" s="10" t="str">
        <f>HYPERLINK("https://pbs.twimg.com/profile_images/911837788106084352/d3A0D0mM.jpg","View")</f>
        <v>View</v>
      </c>
    </row>
    <row r="2158" spans="1:21" ht="30.6">
      <c r="A2158" s="6">
        <v>43424.458333333328</v>
      </c>
      <c r="B2158" s="7" t="str">
        <f>HYPERLINK("https://twitter.com/DebatAlRojoVivo","@DebatAlRojoVivo")</f>
        <v>@DebatAlRojoVivo</v>
      </c>
      <c r="C2158" s="8" t="s">
        <v>563</v>
      </c>
      <c r="D2158" s="9" t="s">
        <v>4982</v>
      </c>
      <c r="E2158" s="10" t="str">
        <f>HYPERLINK("https://twitter.com/DebatAlRojoVivo/status/1064956545019117568","1064956545019117568")</f>
        <v>1064956545019117568</v>
      </c>
      <c r="F2158" s="14" t="s">
        <v>4983</v>
      </c>
      <c r="G2158" s="11"/>
      <c r="H2158" s="11"/>
      <c r="I2158" s="12">
        <v>11</v>
      </c>
      <c r="J2158" s="12">
        <v>9</v>
      </c>
      <c r="K2158" s="13" t="str">
        <f>HYPERLINK("http://dogtrack.es","DogTrack_Oficial")</f>
        <v>DogTrack_Oficial</v>
      </c>
      <c r="L2158" s="12">
        <v>484474</v>
      </c>
      <c r="M2158" s="12">
        <v>279</v>
      </c>
      <c r="N2158" s="12">
        <v>2909</v>
      </c>
      <c r="O2158" s="18" t="s">
        <v>52</v>
      </c>
      <c r="P2158" s="6">
        <v>40555.49763888889</v>
      </c>
      <c r="Q2158" s="11"/>
      <c r="R2158" s="17" t="s">
        <v>567</v>
      </c>
      <c r="S2158" s="14" t="s">
        <v>568</v>
      </c>
      <c r="T2158" s="11"/>
      <c r="U2158" s="10" t="str">
        <f>HYPERLINK("https://pbs.twimg.com/profile_images/1063014308857237504/GEyVz5-l.jpg","View")</f>
        <v>View</v>
      </c>
    </row>
    <row r="2159" spans="1:21" ht="40.799999999999997">
      <c r="A2159" s="6">
        <v>43424.45784722222</v>
      </c>
      <c r="B2159" s="7" t="str">
        <f>HYPERLINK("https://twitter.com/gara_ice","@gara_ice")</f>
        <v>@gara_ice</v>
      </c>
      <c r="C2159" s="8" t="s">
        <v>1475</v>
      </c>
      <c r="D2159" s="9" t="s">
        <v>8026</v>
      </c>
      <c r="E2159" s="10" t="str">
        <f>HYPERLINK("https://twitter.com/gara_ice/status/1064956366102691840","1064956366102691840")</f>
        <v>1064956366102691840</v>
      </c>
      <c r="F2159" s="14" t="s">
        <v>8027</v>
      </c>
      <c r="G2159" s="11"/>
      <c r="H2159" s="11"/>
      <c r="I2159" s="12">
        <v>1</v>
      </c>
      <c r="J2159" s="12">
        <v>0</v>
      </c>
      <c r="K2159" s="13" t="str">
        <f>HYPERLINK("https://ifttt.com","IFTTT")</f>
        <v>IFTTT</v>
      </c>
      <c r="L2159" s="12">
        <v>445</v>
      </c>
      <c r="M2159" s="12">
        <v>434</v>
      </c>
      <c r="N2159" s="12">
        <v>10</v>
      </c>
      <c r="O2159" s="15"/>
      <c r="P2159" s="6">
        <v>39590.060324074075</v>
      </c>
      <c r="Q2159" s="11"/>
      <c r="R2159" s="19"/>
      <c r="S2159" s="11"/>
      <c r="T2159" s="11"/>
      <c r="U2159" s="10" t="str">
        <f>HYPERLINK("https://pbs.twimg.com/profile_images/561850533468971008/-4f3cnLr.jpeg","View")</f>
        <v>View</v>
      </c>
    </row>
    <row r="2160" spans="1:21" ht="40.799999999999997">
      <c r="A2160" s="6">
        <v>43424.455277777779</v>
      </c>
      <c r="B2160" s="7" t="str">
        <f>HYPERLINK("https://twitter.com/Meridiana_Sur","@Meridiana_Sur")</f>
        <v>@Meridiana_Sur</v>
      </c>
      <c r="C2160" s="8" t="s">
        <v>8028</v>
      </c>
      <c r="D2160" s="9" t="s">
        <v>8029</v>
      </c>
      <c r="E2160" s="10" t="str">
        <f>HYPERLINK("https://twitter.com/Meridiana_Sur/status/1064955434354774018","1064955434354774018")</f>
        <v>1064955434354774018</v>
      </c>
      <c r="F2160" s="14" t="s">
        <v>7059</v>
      </c>
      <c r="G2160" s="11"/>
      <c r="H2160" s="11"/>
      <c r="I2160" s="12">
        <v>2</v>
      </c>
      <c r="J2160" s="12">
        <v>3</v>
      </c>
      <c r="K2160" s="13" t="str">
        <f>HYPERLINK("http://twitter.com","Twitter Web Client")</f>
        <v>Twitter Web Client</v>
      </c>
      <c r="L2160" s="12">
        <v>715</v>
      </c>
      <c r="M2160" s="12">
        <v>663</v>
      </c>
      <c r="N2160" s="12">
        <v>0</v>
      </c>
      <c r="O2160" s="15"/>
      <c r="P2160" s="6">
        <v>40738.490254629629</v>
      </c>
      <c r="Q2160" s="16" t="s">
        <v>28</v>
      </c>
      <c r="R2160" s="17" t="s">
        <v>8030</v>
      </c>
      <c r="S2160" s="11"/>
      <c r="T2160" s="11"/>
      <c r="U2160" s="10" t="str">
        <f>HYPERLINK("https://pbs.twimg.com/profile_images/932229917001113601/nw6FaZzq.jpg","View")</f>
        <v>View</v>
      </c>
    </row>
    <row r="2161" spans="1:21" ht="51">
      <c r="A2161" s="6">
        <v>43424.454189814816</v>
      </c>
      <c r="B2161" s="7" t="str">
        <f>HYPERLINK("https://twitter.com/birdoc_a","@birdoc_a")</f>
        <v>@birdoc_a</v>
      </c>
      <c r="C2161" s="8" t="s">
        <v>8031</v>
      </c>
      <c r="D2161" s="9" t="s">
        <v>8032</v>
      </c>
      <c r="E2161" s="10" t="str">
        <f>HYPERLINK("https://twitter.com/birdoc_a/status/1064955041507930112","1064955041507930112")</f>
        <v>1064955041507930112</v>
      </c>
      <c r="F2161" s="14" t="s">
        <v>2122</v>
      </c>
      <c r="G2161" s="11"/>
      <c r="H2161" s="11"/>
      <c r="I2161" s="12">
        <v>0</v>
      </c>
      <c r="J2161" s="12">
        <v>1</v>
      </c>
      <c r="K2161" s="13" t="str">
        <f>HYPERLINK("http://twitter.com/download/android","Twitter for Android")</f>
        <v>Twitter for Android</v>
      </c>
      <c r="L2161" s="12">
        <v>1139</v>
      </c>
      <c r="M2161" s="12">
        <v>1048</v>
      </c>
      <c r="N2161" s="12">
        <v>13</v>
      </c>
      <c r="O2161" s="15"/>
      <c r="P2161" s="6">
        <v>41267.3440625</v>
      </c>
      <c r="Q2161" s="11"/>
      <c r="R2161" s="17" t="s">
        <v>8033</v>
      </c>
      <c r="S2161" s="11"/>
      <c r="T2161" s="11"/>
      <c r="U2161" s="10" t="str">
        <f>HYPERLINK("https://pbs.twimg.com/profile_images/3015438941/6f51c2b14b980194f3f74ddfbdc89d8a.jpeg","View")</f>
        <v>View</v>
      </c>
    </row>
    <row r="2162" spans="1:21" ht="20.399999999999999">
      <c r="A2162" s="6">
        <v>43424.453032407408</v>
      </c>
      <c r="B2162" s="7" t="str">
        <f>HYPERLINK("https://twitter.com/Tormentavideos","@Tormentavideos")</f>
        <v>@Tormentavideos</v>
      </c>
      <c r="C2162" s="8" t="s">
        <v>785</v>
      </c>
      <c r="D2162" s="9" t="s">
        <v>8034</v>
      </c>
      <c r="E2162" s="10" t="str">
        <f>HYPERLINK("https://twitter.com/Tormentavideos/status/1064954621318320128","1064954621318320128")</f>
        <v>1064954621318320128</v>
      </c>
      <c r="F2162" s="16" t="s">
        <v>8035</v>
      </c>
      <c r="G2162" s="11"/>
      <c r="H2162" s="11"/>
      <c r="I2162" s="12">
        <v>0</v>
      </c>
      <c r="J2162" s="12">
        <v>0</v>
      </c>
      <c r="K2162" s="13" t="str">
        <f>HYPERLINK("http://publicize.wp.com/","WordPress.com")</f>
        <v>WordPress.com</v>
      </c>
      <c r="L2162" s="12">
        <v>411</v>
      </c>
      <c r="M2162" s="12">
        <v>1662</v>
      </c>
      <c r="N2162" s="12">
        <v>2</v>
      </c>
      <c r="O2162" s="15"/>
      <c r="P2162" s="6">
        <v>43040.173495370371</v>
      </c>
      <c r="Q2162" s="16" t="s">
        <v>87</v>
      </c>
      <c r="R2162" s="17" t="s">
        <v>790</v>
      </c>
      <c r="S2162" s="14" t="s">
        <v>791</v>
      </c>
      <c r="T2162" s="11"/>
      <c r="U2162" s="10" t="str">
        <f>HYPERLINK("https://pbs.twimg.com/profile_images/925682426139086849/jMMKbDpS.jpg","View")</f>
        <v>View</v>
      </c>
    </row>
    <row r="2163" spans="1:21" ht="51">
      <c r="A2163" s="6">
        <v>43424.452800925923</v>
      </c>
      <c r="B2163" s="7" t="str">
        <f>HYPERLINK("https://twitter.com/lolakiki32","@lolakiki32")</f>
        <v>@lolakiki32</v>
      </c>
      <c r="C2163" s="8" t="s">
        <v>4986</v>
      </c>
      <c r="D2163" s="9" t="s">
        <v>4987</v>
      </c>
      <c r="E2163" s="10" t="str">
        <f>HYPERLINK("https://twitter.com/lolakiki32/status/1064954538724126727","1064954538724126727")</f>
        <v>1064954538724126727</v>
      </c>
      <c r="F2163" s="11"/>
      <c r="G2163" s="11"/>
      <c r="H2163" s="11"/>
      <c r="I2163" s="12">
        <v>19</v>
      </c>
      <c r="J2163" s="12">
        <v>10</v>
      </c>
      <c r="K2163" s="13" t="str">
        <f t="shared" ref="K2163:K2164" si="449">HYPERLINK("http://twitter.com/download/android","Twitter for Android")</f>
        <v>Twitter for Android</v>
      </c>
      <c r="L2163" s="12">
        <v>118</v>
      </c>
      <c r="M2163" s="12">
        <v>477</v>
      </c>
      <c r="N2163" s="12">
        <v>0</v>
      </c>
      <c r="O2163" s="15"/>
      <c r="P2163" s="6">
        <v>40586.656666666662</v>
      </c>
      <c r="Q2163" s="16" t="s">
        <v>4988</v>
      </c>
      <c r="R2163" s="17" t="s">
        <v>4989</v>
      </c>
      <c r="S2163" s="11"/>
      <c r="T2163" s="11"/>
      <c r="U2163" s="10" t="str">
        <f>HYPERLINK("https://pbs.twimg.com/profile_images/939274069794590720/HZYsoYLS.jpg","View")</f>
        <v>View</v>
      </c>
    </row>
    <row r="2164" spans="1:21" ht="20.399999999999999">
      <c r="A2164" s="6">
        <v>43424.450740740736</v>
      </c>
      <c r="B2164" s="7" t="str">
        <f>HYPERLINK("https://twitter.com/Paralosmalvados","@Paralosmalvados")</f>
        <v>@Paralosmalvados</v>
      </c>
      <c r="C2164" s="8" t="s">
        <v>8036</v>
      </c>
      <c r="D2164" s="9" t="s">
        <v>8037</v>
      </c>
      <c r="E2164" s="10" t="str">
        <f>HYPERLINK("https://twitter.com/Paralosmalvados/status/1064953790388936704","1064953790388936704")</f>
        <v>1064953790388936704</v>
      </c>
      <c r="F2164" s="11"/>
      <c r="G2164" s="11"/>
      <c r="H2164" s="11"/>
      <c r="I2164" s="12">
        <v>0</v>
      </c>
      <c r="J2164" s="12">
        <v>1</v>
      </c>
      <c r="K2164" s="13" t="str">
        <f t="shared" si="449"/>
        <v>Twitter for Android</v>
      </c>
      <c r="L2164" s="12">
        <v>1441</v>
      </c>
      <c r="M2164" s="12">
        <v>981</v>
      </c>
      <c r="N2164" s="12">
        <v>2</v>
      </c>
      <c r="O2164" s="15"/>
      <c r="P2164" s="6">
        <v>42641.559953703705</v>
      </c>
      <c r="Q2164" s="16" t="s">
        <v>8038</v>
      </c>
      <c r="R2164" s="17" t="s">
        <v>8039</v>
      </c>
      <c r="S2164" s="11"/>
      <c r="T2164" s="11"/>
      <c r="U2164" s="10" t="str">
        <f>HYPERLINK("https://pbs.twimg.com/profile_images/803289666157944833/dykIlDZD.jpg","View")</f>
        <v>View</v>
      </c>
    </row>
    <row r="2165" spans="1:21" ht="13.2">
      <c r="A2165" s="6">
        <v>43424.450648148151</v>
      </c>
      <c r="B2165" s="7" t="str">
        <f>HYPERLINK("https://twitter.com/AlfonsoRojoPD","@AlfonsoRojoPD")</f>
        <v>@AlfonsoRojoPD</v>
      </c>
      <c r="C2165" s="8" t="s">
        <v>2411</v>
      </c>
      <c r="D2165" s="9" t="s">
        <v>8040</v>
      </c>
      <c r="E2165" s="10" t="str">
        <f>HYPERLINK("https://twitter.com/AlfonsoRojoPD/status/1064953757744680961","1064953757744680961")</f>
        <v>1064953757744680961</v>
      </c>
      <c r="F2165" s="14" t="s">
        <v>8041</v>
      </c>
      <c r="G2165" s="11"/>
      <c r="H2165" s="11"/>
      <c r="I2165" s="12">
        <v>4</v>
      </c>
      <c r="J2165" s="12">
        <v>13</v>
      </c>
      <c r="K2165" s="13" t="str">
        <f t="shared" ref="K2165:K2166" si="450">HYPERLINK("http://twitter.com","Twitter Web Client")</f>
        <v>Twitter Web Client</v>
      </c>
      <c r="L2165" s="12">
        <v>48931</v>
      </c>
      <c r="M2165" s="12">
        <v>0</v>
      </c>
      <c r="N2165" s="12">
        <v>670</v>
      </c>
      <c r="O2165" s="18" t="s">
        <v>52</v>
      </c>
      <c r="P2165" s="6">
        <v>41704.072048611109</v>
      </c>
      <c r="Q2165" s="16" t="s">
        <v>38</v>
      </c>
      <c r="R2165" s="17" t="s">
        <v>2419</v>
      </c>
      <c r="S2165" s="14" t="s">
        <v>2024</v>
      </c>
      <c r="T2165" s="11"/>
      <c r="U2165" s="10" t="str">
        <f>HYPERLINK("https://pbs.twimg.com/profile_images/441511791210663936/QbI_6aXh.jpeg","View")</f>
        <v>View</v>
      </c>
    </row>
    <row r="2166" spans="1:21" ht="51">
      <c r="A2166" s="6">
        <v>43424.449953703705</v>
      </c>
      <c r="B2166" s="7" t="str">
        <f>HYPERLINK("https://twitter.com/usingneurons","@usingneurons")</f>
        <v>@usingneurons</v>
      </c>
      <c r="C2166" s="8" t="s">
        <v>280</v>
      </c>
      <c r="D2166" s="9" t="s">
        <v>4991</v>
      </c>
      <c r="E2166" s="10" t="str">
        <f>HYPERLINK("https://twitter.com/usingneurons/status/1064953505088225281","1064953505088225281")</f>
        <v>1064953505088225281</v>
      </c>
      <c r="F2166" s="11"/>
      <c r="G2166" s="11"/>
      <c r="H2166" s="11"/>
      <c r="I2166" s="12">
        <v>1</v>
      </c>
      <c r="J2166" s="12">
        <v>0</v>
      </c>
      <c r="K2166" s="13" t="str">
        <f t="shared" si="450"/>
        <v>Twitter Web Client</v>
      </c>
      <c r="L2166" s="12">
        <v>924</v>
      </c>
      <c r="M2166" s="12">
        <v>894</v>
      </c>
      <c r="N2166" s="12">
        <v>21</v>
      </c>
      <c r="O2166" s="15"/>
      <c r="P2166" s="6">
        <v>41781.407407407409</v>
      </c>
      <c r="Q2166" s="11"/>
      <c r="R2166" s="17" t="s">
        <v>286</v>
      </c>
      <c r="S2166" s="11"/>
      <c r="T2166" s="11"/>
      <c r="U2166" s="10" t="str">
        <f>HYPERLINK("https://pbs.twimg.com/profile_images/497787841733066752/jnJEf2Rm.jpeg","View")</f>
        <v>View</v>
      </c>
    </row>
    <row r="2167" spans="1:21" ht="51">
      <c r="A2167" s="6">
        <v>43424.449930555551</v>
      </c>
      <c r="B2167" s="7" t="str">
        <f>HYPERLINK("https://twitter.com/bugallego","@bugallego")</f>
        <v>@bugallego</v>
      </c>
      <c r="C2167" s="8" t="s">
        <v>7995</v>
      </c>
      <c r="D2167" s="9" t="s">
        <v>8042</v>
      </c>
      <c r="E2167" s="10" t="str">
        <f>HYPERLINK("https://twitter.com/bugallego/status/1064953496204689408","1064953496204689408")</f>
        <v>1064953496204689408</v>
      </c>
      <c r="F2167" s="11"/>
      <c r="G2167" s="11"/>
      <c r="H2167" s="11"/>
      <c r="I2167" s="12">
        <v>1</v>
      </c>
      <c r="J2167" s="12">
        <v>0</v>
      </c>
      <c r="K2167" s="13" t="str">
        <f>HYPERLINK("http://twitter.com/download/iphone","Twitter for iPhone")</f>
        <v>Twitter for iPhone</v>
      </c>
      <c r="L2167" s="12">
        <v>896</v>
      </c>
      <c r="M2167" s="12">
        <v>2076</v>
      </c>
      <c r="N2167" s="12">
        <v>48</v>
      </c>
      <c r="O2167" s="15"/>
      <c r="P2167" s="6">
        <v>41268.213877314818</v>
      </c>
      <c r="Q2167" s="16" t="s">
        <v>7997</v>
      </c>
      <c r="R2167" s="19"/>
      <c r="S2167" s="11"/>
      <c r="T2167" s="11"/>
      <c r="U2167" s="10" t="str">
        <f>HYPERLINK("https://pbs.twimg.com/profile_images/649499656670564352/wMuIX5o7.jpg","View")</f>
        <v>View</v>
      </c>
    </row>
    <row r="2168" spans="1:21" ht="51">
      <c r="A2168" s="6">
        <v>43424.449490740742</v>
      </c>
      <c r="B2168" s="7" t="str">
        <f>HYPERLINK("https://twitter.com/Eneko_NSKV","@Eneko_NSKV")</f>
        <v>@Eneko_NSKV</v>
      </c>
      <c r="C2168" s="8" t="s">
        <v>4992</v>
      </c>
      <c r="D2168" s="9" t="s">
        <v>4993</v>
      </c>
      <c r="E2168" s="10" t="str">
        <f>HYPERLINK("https://twitter.com/Eneko_NSKV/status/1064953337341202432","1064953337341202432")</f>
        <v>1064953337341202432</v>
      </c>
      <c r="F2168" s="11"/>
      <c r="G2168" s="14" t="s">
        <v>4994</v>
      </c>
      <c r="H2168" s="11"/>
      <c r="I2168" s="12">
        <v>0</v>
      </c>
      <c r="J2168" s="12">
        <v>0</v>
      </c>
      <c r="K2168" s="13" t="str">
        <f t="shared" ref="K2168:K2169" si="451">HYPERLINK("http://twitter.com/download/android","Twitter for Android")</f>
        <v>Twitter for Android</v>
      </c>
      <c r="L2168" s="12">
        <v>649</v>
      </c>
      <c r="M2168" s="12">
        <v>689</v>
      </c>
      <c r="N2168" s="12">
        <v>34</v>
      </c>
      <c r="O2168" s="15"/>
      <c r="P2168" s="6">
        <v>40611.380162037036</v>
      </c>
      <c r="Q2168" s="16" t="s">
        <v>4995</v>
      </c>
      <c r="R2168" s="17" t="s">
        <v>4996</v>
      </c>
      <c r="S2168" s="11"/>
      <c r="T2168" s="11"/>
      <c r="U2168" s="10" t="str">
        <f>HYPERLINK("https://pbs.twimg.com/profile_images/1063470291282743297/2tgj9yxy.jpg","View")</f>
        <v>View</v>
      </c>
    </row>
    <row r="2169" spans="1:21" ht="71.400000000000006">
      <c r="A2169" s="6">
        <v>43424.449456018519</v>
      </c>
      <c r="B2169" s="7" t="str">
        <f>HYPERLINK("https://twitter.com/El_Perchelero","@El_Perchelero")</f>
        <v>@El_Perchelero</v>
      </c>
      <c r="C2169" s="8" t="s">
        <v>8043</v>
      </c>
      <c r="D2169" s="9" t="s">
        <v>8044</v>
      </c>
      <c r="E2169" s="10" t="str">
        <f>HYPERLINK("https://twitter.com/El_Perchelero/status/1064953324317884417","1064953324317884417")</f>
        <v>1064953324317884417</v>
      </c>
      <c r="F2169" s="14" t="s">
        <v>8045</v>
      </c>
      <c r="G2169" s="14" t="s">
        <v>8046</v>
      </c>
      <c r="H2169" s="11"/>
      <c r="I2169" s="12">
        <v>0</v>
      </c>
      <c r="J2169" s="12">
        <v>0</v>
      </c>
      <c r="K2169" s="13" t="str">
        <f t="shared" si="451"/>
        <v>Twitter for Android</v>
      </c>
      <c r="L2169" s="12">
        <v>142</v>
      </c>
      <c r="M2169" s="12">
        <v>515</v>
      </c>
      <c r="N2169" s="12">
        <v>5</v>
      </c>
      <c r="O2169" s="15"/>
      <c r="P2169" s="6">
        <v>42662.322141203702</v>
      </c>
      <c r="Q2169" s="11"/>
      <c r="R2169" s="17" t="s">
        <v>8047</v>
      </c>
      <c r="S2169" s="11"/>
      <c r="T2169" s="11"/>
      <c r="U2169" s="10" t="str">
        <f>HYPERLINK("https://pbs.twimg.com/profile_images/788754962713116672/NWgKDpSO.jpg","View")</f>
        <v>View</v>
      </c>
    </row>
    <row r="2170" spans="1:21" ht="40.799999999999997">
      <c r="A2170" s="6">
        <v>43424.448530092588</v>
      </c>
      <c r="B2170" s="7" t="str">
        <f>HYPERLINK("https://twitter.com/InquisidorTorq","@InquisidorTorq")</f>
        <v>@InquisidorTorq</v>
      </c>
      <c r="C2170" s="8" t="s">
        <v>4997</v>
      </c>
      <c r="D2170" s="9" t="s">
        <v>4998</v>
      </c>
      <c r="E2170" s="10" t="str">
        <f>HYPERLINK("https://twitter.com/InquisidorTorq/status/1064952991340523525","1064952991340523525")</f>
        <v>1064952991340523525</v>
      </c>
      <c r="F2170" s="11"/>
      <c r="G2170" s="11"/>
      <c r="H2170" s="11"/>
      <c r="I2170" s="12">
        <v>4</v>
      </c>
      <c r="J2170" s="12">
        <v>4</v>
      </c>
      <c r="K2170" s="13" t="str">
        <f>HYPERLINK("http://twitter.com","Twitter Web Client")</f>
        <v>Twitter Web Client</v>
      </c>
      <c r="L2170" s="12">
        <v>44</v>
      </c>
      <c r="M2170" s="12">
        <v>226</v>
      </c>
      <c r="N2170" s="12">
        <v>2</v>
      </c>
      <c r="O2170" s="15"/>
      <c r="P2170" s="6">
        <v>43096.243993055556</v>
      </c>
      <c r="Q2170" s="16" t="s">
        <v>5001</v>
      </c>
      <c r="R2170" s="17" t="s">
        <v>5002</v>
      </c>
      <c r="S2170" s="11"/>
      <c r="T2170" s="11"/>
      <c r="U2170" s="10" t="str">
        <f>HYPERLINK("https://pbs.twimg.com/profile_images/1065270136834281472/oXepmLPh.jpg","View")</f>
        <v>View</v>
      </c>
    </row>
    <row r="2171" spans="1:21" ht="13.2">
      <c r="A2171" s="6">
        <v>43424.448148148149</v>
      </c>
      <c r="B2171" s="7" t="str">
        <f>HYPERLINK("https://twitter.com/BotChus","@BotChus")</f>
        <v>@BotChus</v>
      </c>
      <c r="C2171" s="8" t="s">
        <v>2866</v>
      </c>
      <c r="D2171" s="9" t="s">
        <v>8048</v>
      </c>
      <c r="E2171" s="10" t="str">
        <f>HYPERLINK("https://twitter.com/BotChus/status/1064952851183665153","1064952851183665153")</f>
        <v>1064952851183665153</v>
      </c>
      <c r="F2171" s="11"/>
      <c r="G2171" s="11"/>
      <c r="H2171" s="11"/>
      <c r="I2171" s="12">
        <v>0</v>
      </c>
      <c r="J2171" s="12">
        <v>0</v>
      </c>
      <c r="K2171" s="13" t="str">
        <f>HYPERLINK("https://cheapbotsdonequick.com","Cheap Bots, Done Quick!")</f>
        <v>Cheap Bots, Done Quick!</v>
      </c>
      <c r="L2171" s="12">
        <v>28</v>
      </c>
      <c r="M2171" s="12">
        <v>0</v>
      </c>
      <c r="N2171" s="12">
        <v>0</v>
      </c>
      <c r="O2171" s="15"/>
      <c r="P2171" s="6">
        <v>42607.118842592594</v>
      </c>
      <c r="Q2171" s="16" t="s">
        <v>2870</v>
      </c>
      <c r="R2171" s="19"/>
      <c r="S2171" s="11"/>
      <c r="T2171" s="11"/>
      <c r="U2171" s="10" t="str">
        <f>HYPERLINK("https://pbs.twimg.com/profile_images/790326377140674560/gqBslm0g.jpg","View")</f>
        <v>View</v>
      </c>
    </row>
    <row r="2172" spans="1:21" ht="20.399999999999999">
      <c r="A2172" s="6">
        <v>43424.446597222224</v>
      </c>
      <c r="B2172" s="7" t="str">
        <f>HYPERLINK("https://twitter.com/josuaj8","@josuaj8")</f>
        <v>@josuaj8</v>
      </c>
      <c r="C2172" s="8" t="s">
        <v>8049</v>
      </c>
      <c r="D2172" s="9" t="s">
        <v>8050</v>
      </c>
      <c r="E2172" s="10" t="str">
        <f>HYPERLINK("https://twitter.com/josuaj8/status/1064952289914482690","1064952289914482690")</f>
        <v>1064952289914482690</v>
      </c>
      <c r="F2172" s="14" t="s">
        <v>8051</v>
      </c>
      <c r="G2172" s="11"/>
      <c r="H2172" s="11"/>
      <c r="I2172" s="12">
        <v>1</v>
      </c>
      <c r="J2172" s="12">
        <v>1</v>
      </c>
      <c r="K2172" s="13" t="str">
        <f>HYPERLINK("http://www.facebook.com/twitter","Facebook")</f>
        <v>Facebook</v>
      </c>
      <c r="L2172" s="12">
        <v>1123</v>
      </c>
      <c r="M2172" s="12">
        <v>2002</v>
      </c>
      <c r="N2172" s="12">
        <v>8</v>
      </c>
      <c r="O2172" s="15"/>
      <c r="P2172" s="6">
        <v>40585.515775462962</v>
      </c>
      <c r="Q2172" s="16" t="s">
        <v>4893</v>
      </c>
      <c r="R2172" s="17" t="s">
        <v>8052</v>
      </c>
      <c r="S2172" s="11"/>
      <c r="T2172" s="11"/>
      <c r="U2172" s="10" t="str">
        <f>HYPERLINK("https://pbs.twimg.com/profile_images/610918639785615363/5fxcwIxD.jpg","View")</f>
        <v>View</v>
      </c>
    </row>
    <row r="2173" spans="1:21" ht="51">
      <c r="A2173" s="6">
        <v>43424.446261574078</v>
      </c>
      <c r="B2173" s="7" t="str">
        <f>HYPERLINK("https://twitter.com/andresnachon","@andresnachon")</f>
        <v>@andresnachon</v>
      </c>
      <c r="C2173" s="8" t="s">
        <v>4652</v>
      </c>
      <c r="D2173" s="9" t="s">
        <v>5004</v>
      </c>
      <c r="E2173" s="10" t="str">
        <f>HYPERLINK("https://twitter.com/andresnachon/status/1064952167415582720","1064952167415582720")</f>
        <v>1064952167415582720</v>
      </c>
      <c r="F2173" s="11"/>
      <c r="G2173" s="14" t="s">
        <v>5007</v>
      </c>
      <c r="H2173" s="11"/>
      <c r="I2173" s="12">
        <v>1</v>
      </c>
      <c r="J2173" s="12">
        <v>2</v>
      </c>
      <c r="K2173" s="13" t="str">
        <f>HYPERLINK("http://twitter.com/download/android","Twitter for Android")</f>
        <v>Twitter for Android</v>
      </c>
      <c r="L2173" s="12">
        <v>105</v>
      </c>
      <c r="M2173" s="12">
        <v>212</v>
      </c>
      <c r="N2173" s="12">
        <v>2</v>
      </c>
      <c r="O2173" s="15"/>
      <c r="P2173" s="6">
        <v>40323.757939814815</v>
      </c>
      <c r="Q2173" s="11"/>
      <c r="R2173" s="17" t="s">
        <v>4657</v>
      </c>
      <c r="S2173" s="11"/>
      <c r="T2173" s="11"/>
      <c r="U2173" s="10" t="str">
        <f>HYPERLINK("https://pbs.twimg.com/profile_images/458025448862019584/mQPmdCG8.jpeg","View")</f>
        <v>View</v>
      </c>
    </row>
    <row r="2174" spans="1:21" ht="30.6">
      <c r="A2174" s="6">
        <v>43424.445972222224</v>
      </c>
      <c r="B2174" s="7" t="str">
        <f>HYPERLINK("https://twitter.com/maxalvareztever","@maxalvareztever")</f>
        <v>@maxalvareztever</v>
      </c>
      <c r="C2174" s="8" t="s">
        <v>6540</v>
      </c>
      <c r="D2174" s="9" t="s">
        <v>7242</v>
      </c>
      <c r="E2174" s="10" t="str">
        <f>HYPERLINK("https://twitter.com/maxalvareztever/status/1064952063950508032","1064952063950508032")</f>
        <v>1064952063950508032</v>
      </c>
      <c r="F2174" s="14" t="s">
        <v>7243</v>
      </c>
      <c r="G2174" s="11"/>
      <c r="H2174" s="11"/>
      <c r="I2174" s="12">
        <v>0</v>
      </c>
      <c r="J2174" s="12">
        <v>0</v>
      </c>
      <c r="K2174" s="13" t="str">
        <f>HYPERLINK("https://www.google.com/","Google")</f>
        <v>Google</v>
      </c>
      <c r="L2174" s="12">
        <v>949</v>
      </c>
      <c r="M2174" s="12">
        <v>1953</v>
      </c>
      <c r="N2174" s="12">
        <v>15</v>
      </c>
      <c r="O2174" s="15"/>
      <c r="P2174" s="6">
        <v>40562.500914351855</v>
      </c>
      <c r="Q2174" s="16" t="s">
        <v>6542</v>
      </c>
      <c r="R2174" s="17" t="s">
        <v>6543</v>
      </c>
      <c r="S2174" s="11"/>
      <c r="T2174" s="11"/>
      <c r="U2174" s="10" t="str">
        <f>HYPERLINK("https://pbs.twimg.com/profile_images/1713837472/DSC_0178-2.jpg","View")</f>
        <v>View</v>
      </c>
    </row>
    <row r="2175" spans="1:21" ht="51">
      <c r="A2175" s="6">
        <v>43424.445925925931</v>
      </c>
      <c r="B2175" s="7" t="str">
        <f>HYPERLINK("https://twitter.com/melapelan13","@melapelan13")</f>
        <v>@melapelan13</v>
      </c>
      <c r="C2175" s="8" t="s">
        <v>8053</v>
      </c>
      <c r="D2175" s="9" t="s">
        <v>8054</v>
      </c>
      <c r="E2175" s="10" t="str">
        <f>HYPERLINK("https://twitter.com/melapelan13/status/1064952046762291205","1064952046762291205")</f>
        <v>1064952046762291205</v>
      </c>
      <c r="F2175" s="14" t="s">
        <v>7832</v>
      </c>
      <c r="G2175" s="11"/>
      <c r="H2175" s="11"/>
      <c r="I2175" s="12">
        <v>0</v>
      </c>
      <c r="J2175" s="12">
        <v>0</v>
      </c>
      <c r="K2175" s="13" t="str">
        <f>HYPERLINK("http://twitter.com","Twitter Web Client")</f>
        <v>Twitter Web Client</v>
      </c>
      <c r="L2175" s="12">
        <v>3</v>
      </c>
      <c r="M2175" s="12">
        <v>0</v>
      </c>
      <c r="N2175" s="12">
        <v>0</v>
      </c>
      <c r="O2175" s="15"/>
      <c r="P2175" s="6">
        <v>42734.152291666665</v>
      </c>
      <c r="Q2175" s="16" t="s">
        <v>8055</v>
      </c>
      <c r="R2175" s="19"/>
      <c r="S2175" s="11"/>
      <c r="T2175" s="11"/>
      <c r="U2175" s="18" t="s">
        <v>168</v>
      </c>
    </row>
    <row r="2176" spans="1:21" ht="40.799999999999997">
      <c r="A2176" s="6">
        <v>43424.445659722223</v>
      </c>
      <c r="B2176" s="7" t="str">
        <f>HYPERLINK("https://twitter.com/CsMadVicalvaro","@CsMadVicalvaro")</f>
        <v>@CsMadVicalvaro</v>
      </c>
      <c r="C2176" s="8" t="s">
        <v>8056</v>
      </c>
      <c r="D2176" s="9" t="s">
        <v>8057</v>
      </c>
      <c r="E2176" s="10" t="str">
        <f>HYPERLINK("https://twitter.com/CsMadVicalvaro/status/1064951951622897667","1064951951622897667")</f>
        <v>1064951951622897667</v>
      </c>
      <c r="F2176" s="11"/>
      <c r="G2176" s="14" t="s">
        <v>8058</v>
      </c>
      <c r="H2176" s="11"/>
      <c r="I2176" s="12">
        <v>6</v>
      </c>
      <c r="J2176" s="12">
        <v>5</v>
      </c>
      <c r="K2176" s="13" t="str">
        <f>HYPERLINK("http://twitter.com/download/android","Twitter for Android")</f>
        <v>Twitter for Android</v>
      </c>
      <c r="L2176" s="12">
        <v>1434</v>
      </c>
      <c r="M2176" s="12">
        <v>652</v>
      </c>
      <c r="N2176" s="12">
        <v>23</v>
      </c>
      <c r="O2176" s="15"/>
      <c r="P2176" s="6">
        <v>42291.339479166665</v>
      </c>
      <c r="Q2176" s="16" t="s">
        <v>8059</v>
      </c>
      <c r="R2176" s="17" t="s">
        <v>8060</v>
      </c>
      <c r="S2176" s="14" t="s">
        <v>8061</v>
      </c>
      <c r="T2176" s="11"/>
      <c r="U2176" s="10" t="str">
        <f>HYPERLINK("https://pbs.twimg.com/profile_images/899727307300110336/9XmQz0du.jpg","View")</f>
        <v>View</v>
      </c>
    </row>
    <row r="2177" spans="1:21" ht="20.399999999999999">
      <c r="A2177" s="6">
        <v>43424.445613425924</v>
      </c>
      <c r="B2177" s="7" t="str">
        <f>HYPERLINK("https://twitter.com/lokatus","@lokatus")</f>
        <v>@lokatus</v>
      </c>
      <c r="C2177" s="8" t="s">
        <v>5009</v>
      </c>
      <c r="D2177" s="9" t="s">
        <v>5010</v>
      </c>
      <c r="E2177" s="10" t="str">
        <f>HYPERLINK("https://twitter.com/lokatus/status/1064951935562915845","1064951935562915845")</f>
        <v>1064951935562915845</v>
      </c>
      <c r="F2177" s="14" t="s">
        <v>5012</v>
      </c>
      <c r="G2177" s="11"/>
      <c r="H2177" s="11"/>
      <c r="I2177" s="12">
        <v>0</v>
      </c>
      <c r="J2177" s="12">
        <v>0</v>
      </c>
      <c r="K2177" s="13" t="str">
        <f>HYPERLINK("http://twitter.com/download/iphone","Twitter for iPhone")</f>
        <v>Twitter for iPhone</v>
      </c>
      <c r="L2177" s="12">
        <v>214</v>
      </c>
      <c r="M2177" s="12">
        <v>441</v>
      </c>
      <c r="N2177" s="12">
        <v>6</v>
      </c>
      <c r="O2177" s="15"/>
      <c r="P2177" s="6">
        <v>40332.092962962961</v>
      </c>
      <c r="Q2177" s="16" t="s">
        <v>38</v>
      </c>
      <c r="R2177" s="17" t="s">
        <v>5013</v>
      </c>
      <c r="S2177" s="11"/>
      <c r="T2177" s="11"/>
      <c r="U2177" s="10" t="str">
        <f>HYPERLINK("https://pbs.twimg.com/profile_images/1713908156/image.jpg","View")</f>
        <v>View</v>
      </c>
    </row>
    <row r="2178" spans="1:21" ht="30.6">
      <c r="A2178" s="6">
        <v>43424.444722222222</v>
      </c>
      <c r="B2178" s="7" t="str">
        <f>HYPERLINK("https://twitter.com/vicrock1947","@vicrock1947")</f>
        <v>@vicrock1947</v>
      </c>
      <c r="C2178" s="8" t="s">
        <v>8063</v>
      </c>
      <c r="D2178" s="9" t="s">
        <v>8064</v>
      </c>
      <c r="E2178" s="10" t="str">
        <f>HYPERLINK("https://twitter.com/vicrock1947/status/1064951609027907584","1064951609027907584")</f>
        <v>1064951609027907584</v>
      </c>
      <c r="F2178" s="16" t="s">
        <v>8066</v>
      </c>
      <c r="G2178" s="11"/>
      <c r="H2178" s="11"/>
      <c r="I2178" s="12">
        <v>0</v>
      </c>
      <c r="J2178" s="12">
        <v>0</v>
      </c>
      <c r="K2178" s="13" t="str">
        <f>HYPERLINK("http://twitter.com","Twitter Web Client")</f>
        <v>Twitter Web Client</v>
      </c>
      <c r="L2178" s="12">
        <v>1418</v>
      </c>
      <c r="M2178" s="12">
        <v>1428</v>
      </c>
      <c r="N2178" s="12">
        <v>2</v>
      </c>
      <c r="O2178" s="15"/>
      <c r="P2178" s="6">
        <v>42878.186157407406</v>
      </c>
      <c r="Q2178" s="11"/>
      <c r="R2178" s="19"/>
      <c r="S2178" s="11"/>
      <c r="T2178" s="11"/>
      <c r="U2178" s="10" t="str">
        <f>HYPERLINK("https://pbs.twimg.com/profile_images/923505794078904321/K0hMi8hx.jpg","View")</f>
        <v>View</v>
      </c>
    </row>
    <row r="2179" spans="1:21" ht="51">
      <c r="A2179" s="6">
        <v>43424.444710648153</v>
      </c>
      <c r="B2179" s="7" t="str">
        <f>HYPERLINK("https://twitter.com/Francis23536992","@Francis23536992")</f>
        <v>@Francis23536992</v>
      </c>
      <c r="C2179" s="8" t="s">
        <v>5842</v>
      </c>
      <c r="D2179" s="9" t="s">
        <v>8067</v>
      </c>
      <c r="E2179" s="10" t="str">
        <f>HYPERLINK("https://twitter.com/Francis23536992/status/1064951605185912833","1064951605185912833")</f>
        <v>1064951605185912833</v>
      </c>
      <c r="F2179" s="11"/>
      <c r="G2179" s="11"/>
      <c r="H2179" s="11"/>
      <c r="I2179" s="12">
        <v>18</v>
      </c>
      <c r="J2179" s="12">
        <v>5</v>
      </c>
      <c r="K2179" s="13" t="str">
        <f t="shared" ref="K2179:K2181" si="452">HYPERLINK("http://twitter.com/download/android","Twitter for Android")</f>
        <v>Twitter for Android</v>
      </c>
      <c r="L2179" s="12">
        <v>47</v>
      </c>
      <c r="M2179" s="12">
        <v>14</v>
      </c>
      <c r="N2179" s="12">
        <v>0</v>
      </c>
      <c r="O2179" s="15"/>
      <c r="P2179" s="6">
        <v>43372.39329861111</v>
      </c>
      <c r="Q2179" s="16" t="s">
        <v>5844</v>
      </c>
      <c r="R2179" s="19"/>
      <c r="S2179" s="11"/>
      <c r="T2179" s="11"/>
      <c r="U2179" s="10" t="str">
        <f>HYPERLINK("https://pbs.twimg.com/profile_images/1048959422792433665/EB-D_62c.jpg","View")</f>
        <v>View</v>
      </c>
    </row>
    <row r="2180" spans="1:21" ht="81.599999999999994">
      <c r="A2180" s="6">
        <v>43424.439965277779</v>
      </c>
      <c r="B2180" s="7" t="str">
        <f>HYPERLINK("https://twitter.com/ForreMarti","@ForreMarti")</f>
        <v>@ForreMarti</v>
      </c>
      <c r="C2180" s="8" t="s">
        <v>5014</v>
      </c>
      <c r="D2180" s="9" t="s">
        <v>5015</v>
      </c>
      <c r="E2180" s="10" t="str">
        <f>HYPERLINK("https://twitter.com/ForreMarti/status/1064949888276971520","1064949888276971520")</f>
        <v>1064949888276971520</v>
      </c>
      <c r="F2180" s="16" t="s">
        <v>5016</v>
      </c>
      <c r="G2180" s="11"/>
      <c r="H2180" s="11"/>
      <c r="I2180" s="12">
        <v>2</v>
      </c>
      <c r="J2180" s="12">
        <v>3</v>
      </c>
      <c r="K2180" s="13" t="str">
        <f t="shared" si="452"/>
        <v>Twitter for Android</v>
      </c>
      <c r="L2180" s="12">
        <v>7243</v>
      </c>
      <c r="M2180" s="12">
        <v>6631</v>
      </c>
      <c r="N2180" s="12">
        <v>42</v>
      </c>
      <c r="O2180" s="15"/>
      <c r="P2180" s="6">
        <v>41016.172071759262</v>
      </c>
      <c r="Q2180" s="11"/>
      <c r="R2180" s="17" t="s">
        <v>5019</v>
      </c>
      <c r="S2180" s="11"/>
      <c r="T2180" s="11"/>
      <c r="U2180" s="10" t="str">
        <f>HYPERLINK("https://pbs.twimg.com/profile_images/814216120853008384/u-rWuJaY.jpg","View")</f>
        <v>View</v>
      </c>
    </row>
    <row r="2181" spans="1:21" ht="51">
      <c r="A2181" s="6">
        <v>43424.439062500001</v>
      </c>
      <c r="B2181" s="7" t="str">
        <f>HYPERLINK("https://twitter.com/AdrianSdC","@AdrianSdC")</f>
        <v>@AdrianSdC</v>
      </c>
      <c r="C2181" s="8" t="s">
        <v>8062</v>
      </c>
      <c r="D2181" s="9" t="s">
        <v>8068</v>
      </c>
      <c r="E2181" s="10" t="str">
        <f>HYPERLINK("https://twitter.com/AdrianSdC/status/1064949560005574659","1064949560005574659")</f>
        <v>1064949560005574659</v>
      </c>
      <c r="F2181" s="14" t="s">
        <v>8069</v>
      </c>
      <c r="G2181" s="14" t="s">
        <v>8070</v>
      </c>
      <c r="H2181" s="11"/>
      <c r="I2181" s="12">
        <v>0</v>
      </c>
      <c r="J2181" s="12">
        <v>2</v>
      </c>
      <c r="K2181" s="13" t="str">
        <f t="shared" si="452"/>
        <v>Twitter for Android</v>
      </c>
      <c r="L2181" s="12">
        <v>287</v>
      </c>
      <c r="M2181" s="12">
        <v>290</v>
      </c>
      <c r="N2181" s="12">
        <v>16</v>
      </c>
      <c r="O2181" s="15"/>
      <c r="P2181" s="6">
        <v>40749.57371527778</v>
      </c>
      <c r="Q2181" s="16" t="s">
        <v>38</v>
      </c>
      <c r="R2181" s="17" t="s">
        <v>8065</v>
      </c>
      <c r="S2181" s="11"/>
      <c r="T2181" s="11"/>
      <c r="U2181" s="10" t="str">
        <f>HYPERLINK("https://pbs.twimg.com/profile_images/1064280310513377281/x-YBFwMA.jpg","View")</f>
        <v>View</v>
      </c>
    </row>
    <row r="2182" spans="1:21" ht="30.6">
      <c r="A2182" s="6">
        <v>43424.43850694444</v>
      </c>
      <c r="B2182" s="7" t="str">
        <f>HYPERLINK("https://twitter.com/Fort_Apache_","@Fort_Apache_")</f>
        <v>@Fort_Apache_</v>
      </c>
      <c r="C2182" s="8" t="s">
        <v>5020</v>
      </c>
      <c r="D2182" s="9" t="s">
        <v>5021</v>
      </c>
      <c r="E2182" s="10" t="str">
        <f>HYPERLINK("https://twitter.com/Fort_Apache_/status/1064949356816678913","1064949356816678913")</f>
        <v>1064949356816678913</v>
      </c>
      <c r="F2182" s="14" t="s">
        <v>5025</v>
      </c>
      <c r="G2182" s="14" t="s">
        <v>5026</v>
      </c>
      <c r="H2182" s="11"/>
      <c r="I2182" s="12">
        <v>10</v>
      </c>
      <c r="J2182" s="12">
        <v>8</v>
      </c>
      <c r="K2182" s="13" t="str">
        <f t="shared" ref="K2182:K2184" si="453">HYPERLINK("http://twitter.com","Twitter Web Client")</f>
        <v>Twitter Web Client</v>
      </c>
      <c r="L2182" s="12">
        <v>42777</v>
      </c>
      <c r="M2182" s="12">
        <v>4602</v>
      </c>
      <c r="N2182" s="12">
        <v>549</v>
      </c>
      <c r="O2182" s="18" t="s">
        <v>52</v>
      </c>
      <c r="P2182" s="6">
        <v>41211.238067129627</v>
      </c>
      <c r="Q2182" s="11"/>
      <c r="R2182" s="17" t="s">
        <v>5027</v>
      </c>
      <c r="S2182" s="14" t="s">
        <v>5028</v>
      </c>
      <c r="T2182" s="11"/>
      <c r="U2182" s="10" t="str">
        <f>HYPERLINK("https://pbs.twimg.com/profile_images/2780023926/3723ca167fb838c1b1acd85f4512508e.jpeg","View")</f>
        <v>View</v>
      </c>
    </row>
    <row r="2183" spans="1:21" ht="30.6">
      <c r="A2183" s="6">
        <v>43424.4377662037</v>
      </c>
      <c r="B2183" s="7" t="str">
        <f>HYPERLINK("https://twitter.com/Icunde_67","@Icunde_67")</f>
        <v>@Icunde_67</v>
      </c>
      <c r="C2183" s="8" t="s">
        <v>3960</v>
      </c>
      <c r="D2183" s="9" t="s">
        <v>8071</v>
      </c>
      <c r="E2183" s="10" t="str">
        <f>HYPERLINK("https://twitter.com/Icunde_67/status/1064949090725871624","1064949090725871624")</f>
        <v>1064949090725871624</v>
      </c>
      <c r="F2183" s="14" t="s">
        <v>8072</v>
      </c>
      <c r="G2183" s="11"/>
      <c r="H2183" s="11"/>
      <c r="I2183" s="12">
        <v>0</v>
      </c>
      <c r="J2183" s="12">
        <v>0</v>
      </c>
      <c r="K2183" s="13" t="str">
        <f t="shared" si="453"/>
        <v>Twitter Web Client</v>
      </c>
      <c r="L2183" s="12">
        <v>3018</v>
      </c>
      <c r="M2183" s="12">
        <v>2933</v>
      </c>
      <c r="N2183" s="12">
        <v>57</v>
      </c>
      <c r="O2183" s="15"/>
      <c r="P2183" s="6">
        <v>41337.250509259262</v>
      </c>
      <c r="Q2183" s="16" t="s">
        <v>406</v>
      </c>
      <c r="R2183" s="19"/>
      <c r="S2183" s="11"/>
      <c r="T2183" s="11"/>
      <c r="U2183" s="10" t="str">
        <f>HYPERLINK("https://pbs.twimg.com/profile_images/3433288835/ddf48551b37514135c1663e873eab7e1.jpeg","View")</f>
        <v>View</v>
      </c>
    </row>
    <row r="2184" spans="1:21" ht="51">
      <c r="A2184" s="6">
        <v>43424.437662037039</v>
      </c>
      <c r="B2184" s="7" t="str">
        <f>HYPERLINK("https://twitter.com/Pablo_Iglesias_","@Pablo_Iglesias_")</f>
        <v>@Pablo_Iglesias_</v>
      </c>
      <c r="C2184" s="8" t="s">
        <v>383</v>
      </c>
      <c r="D2184" s="9" t="s">
        <v>8073</v>
      </c>
      <c r="E2184" s="10" t="str">
        <f>HYPERLINK("https://twitter.com/Pablo_Iglesias_/status/1064949052956135424","1064949052956135424")</f>
        <v>1064949052956135424</v>
      </c>
      <c r="F2184" s="11"/>
      <c r="G2184" s="14" t="s">
        <v>8074</v>
      </c>
      <c r="H2184" s="11"/>
      <c r="I2184" s="12">
        <v>113</v>
      </c>
      <c r="J2184" s="12">
        <v>203</v>
      </c>
      <c r="K2184" s="13" t="str">
        <f t="shared" si="453"/>
        <v>Twitter Web Client</v>
      </c>
      <c r="L2184" s="12">
        <v>2240182</v>
      </c>
      <c r="M2184" s="12">
        <v>2735</v>
      </c>
      <c r="N2184" s="12">
        <v>8469</v>
      </c>
      <c r="O2184" s="18" t="s">
        <v>52</v>
      </c>
      <c r="P2184" s="6">
        <v>40351.200300925928</v>
      </c>
      <c r="Q2184" s="16" t="s">
        <v>38</v>
      </c>
      <c r="R2184" s="17" t="s">
        <v>389</v>
      </c>
      <c r="S2184" s="14" t="s">
        <v>58</v>
      </c>
      <c r="T2184" s="11"/>
      <c r="U2184" s="10" t="str">
        <f>HYPERLINK("https://pbs.twimg.com/profile_images/902223370569338884/dL2D2A5P.jpg","View")</f>
        <v>View</v>
      </c>
    </row>
    <row r="2185" spans="1:21" ht="40.799999999999997">
      <c r="A2185" s="6">
        <v>43424.437476851846</v>
      </c>
      <c r="B2185" s="7" t="str">
        <f>HYPERLINK("https://twitter.com/Zibelinam","@Zibelinam")</f>
        <v>@Zibelinam</v>
      </c>
      <c r="C2185" s="8" t="s">
        <v>7780</v>
      </c>
      <c r="D2185" s="9" t="s">
        <v>7957</v>
      </c>
      <c r="E2185" s="10" t="str">
        <f>HYPERLINK("https://twitter.com/Zibelinam/status/1064948986027696129","1064948986027696129")</f>
        <v>1064948986027696129</v>
      </c>
      <c r="F2185" s="14" t="s">
        <v>7615</v>
      </c>
      <c r="G2185" s="11"/>
      <c r="H2185" s="11"/>
      <c r="I2185" s="12">
        <v>0</v>
      </c>
      <c r="J2185" s="12">
        <v>0</v>
      </c>
      <c r="K2185" s="13" t="str">
        <f>HYPERLINK("http://twitter.com/download/iphone","Twitter for iPhone")</f>
        <v>Twitter for iPhone</v>
      </c>
      <c r="L2185" s="12">
        <v>4089</v>
      </c>
      <c r="M2185" s="12">
        <v>4008</v>
      </c>
      <c r="N2185" s="12">
        <v>20</v>
      </c>
      <c r="O2185" s="15"/>
      <c r="P2185" s="6">
        <v>41405.27853009259</v>
      </c>
      <c r="Q2185" s="16" t="s">
        <v>7782</v>
      </c>
      <c r="R2185" s="17" t="s">
        <v>7783</v>
      </c>
      <c r="S2185" s="11"/>
      <c r="T2185" s="11"/>
      <c r="U2185" s="10" t="str">
        <f>HYPERLINK("https://pbs.twimg.com/profile_images/929426502416027649/07tvgMQf.jpg","View")</f>
        <v>View</v>
      </c>
    </row>
    <row r="2186" spans="1:21" ht="20.399999999999999">
      <c r="A2186" s="6">
        <v>43424.437442129631</v>
      </c>
      <c r="B2186" s="7" t="str">
        <f>HYPERLINK("https://twitter.com/sanchez_jj","@sanchez_jj")</f>
        <v>@sanchez_jj</v>
      </c>
      <c r="C2186" s="8" t="s">
        <v>8075</v>
      </c>
      <c r="D2186" s="9" t="s">
        <v>8076</v>
      </c>
      <c r="E2186" s="10" t="str">
        <f>HYPERLINK("https://twitter.com/sanchez_jj/status/1064948973738303489","1064948973738303489")</f>
        <v>1064948973738303489</v>
      </c>
      <c r="F2186" s="14" t="s">
        <v>8077</v>
      </c>
      <c r="G2186" s="11"/>
      <c r="H2186" s="11"/>
      <c r="I2186" s="12">
        <v>0</v>
      </c>
      <c r="J2186" s="12">
        <v>0</v>
      </c>
      <c r="K2186" s="13" t="str">
        <f t="shared" ref="K2186:K2187" si="454">HYPERLINK("http://twitter.com","Twitter Web Client")</f>
        <v>Twitter Web Client</v>
      </c>
      <c r="L2186" s="12">
        <v>33453</v>
      </c>
      <c r="M2186" s="12">
        <v>336</v>
      </c>
      <c r="N2186" s="12">
        <v>194</v>
      </c>
      <c r="O2186" s="15"/>
      <c r="P2186" s="6">
        <v>40400.197164351848</v>
      </c>
      <c r="Q2186" s="16" t="s">
        <v>256</v>
      </c>
      <c r="R2186" s="17" t="s">
        <v>8078</v>
      </c>
      <c r="S2186" s="14" t="s">
        <v>8079</v>
      </c>
      <c r="T2186" s="11"/>
      <c r="U2186" s="10" t="str">
        <f>HYPERLINK("https://pbs.twimg.com/profile_images/1046883626409963520/R-HaWhoc.jpg","View")</f>
        <v>View</v>
      </c>
    </row>
    <row r="2187" spans="1:21" ht="20.399999999999999">
      <c r="A2187" s="6">
        <v>43424.436932870369</v>
      </c>
      <c r="B2187" s="7" t="str">
        <f>HYPERLINK("https://twitter.com/AlfonsoRojoPD","@AlfonsoRojoPD")</f>
        <v>@AlfonsoRojoPD</v>
      </c>
      <c r="C2187" s="8" t="s">
        <v>2411</v>
      </c>
      <c r="D2187" s="9" t="s">
        <v>7658</v>
      </c>
      <c r="E2187" s="10" t="str">
        <f>HYPERLINK("https://twitter.com/AlfonsoRojoPD/status/1064948789662941189","1064948789662941189")</f>
        <v>1064948789662941189</v>
      </c>
      <c r="F2187" s="14" t="s">
        <v>7059</v>
      </c>
      <c r="G2187" s="11"/>
      <c r="H2187" s="11"/>
      <c r="I2187" s="12">
        <v>4</v>
      </c>
      <c r="J2187" s="12">
        <v>6</v>
      </c>
      <c r="K2187" s="13" t="str">
        <f t="shared" si="454"/>
        <v>Twitter Web Client</v>
      </c>
      <c r="L2187" s="12">
        <v>48931</v>
      </c>
      <c r="M2187" s="12">
        <v>0</v>
      </c>
      <c r="N2187" s="12">
        <v>670</v>
      </c>
      <c r="O2187" s="18" t="s">
        <v>52</v>
      </c>
      <c r="P2187" s="6">
        <v>41704.072048611109</v>
      </c>
      <c r="Q2187" s="16" t="s">
        <v>38</v>
      </c>
      <c r="R2187" s="17" t="s">
        <v>2419</v>
      </c>
      <c r="S2187" s="14" t="s">
        <v>2024</v>
      </c>
      <c r="T2187" s="11"/>
      <c r="U2187" s="10" t="str">
        <f>HYPERLINK("https://pbs.twimg.com/profile_images/441511791210663936/QbI_6aXh.jpeg","View")</f>
        <v>View</v>
      </c>
    </row>
    <row r="2188" spans="1:21" ht="61.2">
      <c r="A2188" s="6">
        <v>43424.436365740738</v>
      </c>
      <c r="B2188" s="7" t="str">
        <f>HYPERLINK("https://twitter.com/Francis23536992","@Francis23536992")</f>
        <v>@Francis23536992</v>
      </c>
      <c r="C2188" s="8" t="s">
        <v>5842</v>
      </c>
      <c r="D2188" s="9" t="s">
        <v>8080</v>
      </c>
      <c r="E2188" s="10" t="str">
        <f>HYPERLINK("https://twitter.com/Francis23536992/status/1064948582854336512","1064948582854336512")</f>
        <v>1064948582854336512</v>
      </c>
      <c r="F2188" s="11"/>
      <c r="G2188" s="11"/>
      <c r="H2188" s="11"/>
      <c r="I2188" s="12">
        <v>25</v>
      </c>
      <c r="J2188" s="12">
        <v>9</v>
      </c>
      <c r="K2188" s="13" t="str">
        <f t="shared" ref="K2188:K2189" si="455">HYPERLINK("http://twitter.com/download/android","Twitter for Android")</f>
        <v>Twitter for Android</v>
      </c>
      <c r="L2188" s="12">
        <v>47</v>
      </c>
      <c r="M2188" s="12">
        <v>14</v>
      </c>
      <c r="N2188" s="12">
        <v>0</v>
      </c>
      <c r="O2188" s="15"/>
      <c r="P2188" s="6">
        <v>43372.39329861111</v>
      </c>
      <c r="Q2188" s="16" t="s">
        <v>5844</v>
      </c>
      <c r="R2188" s="19"/>
      <c r="S2188" s="11"/>
      <c r="T2188" s="11"/>
      <c r="U2188" s="10" t="str">
        <f>HYPERLINK("https://pbs.twimg.com/profile_images/1048959422792433665/EB-D_62c.jpg","View")</f>
        <v>View</v>
      </c>
    </row>
    <row r="2189" spans="1:21" ht="61.2">
      <c r="A2189" s="6">
        <v>43424.435902777783</v>
      </c>
      <c r="B2189" s="7" t="str">
        <f>HYPERLINK("https://twitter.com/Nanchinho","@Nanchinho")</f>
        <v>@Nanchinho</v>
      </c>
      <c r="C2189" s="8" t="s">
        <v>2741</v>
      </c>
      <c r="D2189" s="9" t="s">
        <v>8081</v>
      </c>
      <c r="E2189" s="10" t="str">
        <f>HYPERLINK("https://twitter.com/Nanchinho/status/1064948414578917376","1064948414578917376")</f>
        <v>1064948414578917376</v>
      </c>
      <c r="F2189" s="11"/>
      <c r="G2189" s="11"/>
      <c r="H2189" s="11"/>
      <c r="I2189" s="12">
        <v>1074</v>
      </c>
      <c r="J2189" s="12">
        <v>1841</v>
      </c>
      <c r="K2189" s="13" t="str">
        <f t="shared" si="455"/>
        <v>Twitter for Android</v>
      </c>
      <c r="L2189" s="12">
        <v>21175</v>
      </c>
      <c r="M2189" s="12">
        <v>360</v>
      </c>
      <c r="N2189" s="12">
        <v>189</v>
      </c>
      <c r="O2189" s="15"/>
      <c r="P2189" s="6">
        <v>41937.596898148149</v>
      </c>
      <c r="Q2189" s="16" t="s">
        <v>2743</v>
      </c>
      <c r="R2189" s="17" t="s">
        <v>2744</v>
      </c>
      <c r="S2189" s="11"/>
      <c r="T2189" s="11"/>
      <c r="U2189" s="10" t="str">
        <f>HYPERLINK("https://pbs.twimg.com/profile_images/1063892430804664320/vpPL-ICz.jpg","View")</f>
        <v>View</v>
      </c>
    </row>
    <row r="2190" spans="1:21" ht="40.799999999999997">
      <c r="A2190" s="6">
        <v>43424.435671296298</v>
      </c>
      <c r="B2190" s="7" t="str">
        <f>HYPERLINK("https://twitter.com/ALCBDS_Mediatec","@ALCBDS_Mediatec")</f>
        <v>@ALCBDS_Mediatec</v>
      </c>
      <c r="C2190" s="8" t="s">
        <v>8082</v>
      </c>
      <c r="D2190" s="9" t="s">
        <v>8083</v>
      </c>
      <c r="E2190" s="10" t="str">
        <f>HYPERLINK("https://twitter.com/ALCBDS_Mediatec/status/1064948328914448384","1064948328914448384")</f>
        <v>1064948328914448384</v>
      </c>
      <c r="F2190" s="11"/>
      <c r="G2190" s="14" t="s">
        <v>8084</v>
      </c>
      <c r="H2190" s="11"/>
      <c r="I2190" s="12">
        <v>1</v>
      </c>
      <c r="J2190" s="12">
        <v>3</v>
      </c>
      <c r="K2190" s="13" t="str">
        <f>HYPERLINK("https://www.hootsuite.com","Hootsuite Inc.")</f>
        <v>Hootsuite Inc.</v>
      </c>
      <c r="L2190" s="12">
        <v>1295</v>
      </c>
      <c r="M2190" s="12">
        <v>673</v>
      </c>
      <c r="N2190" s="12">
        <v>54</v>
      </c>
      <c r="O2190" s="15"/>
      <c r="P2190" s="6">
        <v>41235.033506944441</v>
      </c>
      <c r="Q2190" s="16" t="s">
        <v>4819</v>
      </c>
      <c r="R2190" s="17" t="s">
        <v>8085</v>
      </c>
      <c r="S2190" s="14" t="s">
        <v>8086</v>
      </c>
      <c r="T2190" s="11"/>
      <c r="U2190" s="10" t="str">
        <f>HYPERLINK("https://pbs.twimg.com/profile_images/800716773712678912/YbLJPnBa.jpg","View")</f>
        <v>View</v>
      </c>
    </row>
    <row r="2191" spans="1:21" ht="51">
      <c r="A2191" s="6">
        <v>43424.435023148151</v>
      </c>
      <c r="B2191" s="7" t="str">
        <f>HYPERLINK("https://twitter.com/Obi_Uan_Kenobi","@Obi_Uan_Kenobi")</f>
        <v>@Obi_Uan_Kenobi</v>
      </c>
      <c r="C2191" s="8" t="s">
        <v>1250</v>
      </c>
      <c r="D2191" s="9" t="s">
        <v>5029</v>
      </c>
      <c r="E2191" s="10" t="str">
        <f>HYPERLINK("https://twitter.com/Obi_Uan_Kenobi/status/1064948095388139520","1064948095388139520")</f>
        <v>1064948095388139520</v>
      </c>
      <c r="F2191" s="11"/>
      <c r="G2191" s="11"/>
      <c r="H2191" s="11"/>
      <c r="I2191" s="12">
        <v>13</v>
      </c>
      <c r="J2191" s="12">
        <v>13</v>
      </c>
      <c r="K2191" s="13" t="str">
        <f>HYPERLINK("http://twitter.com","Twitter Web Client")</f>
        <v>Twitter Web Client</v>
      </c>
      <c r="L2191" s="12">
        <v>6439</v>
      </c>
      <c r="M2191" s="12">
        <v>250</v>
      </c>
      <c r="N2191" s="12">
        <v>130</v>
      </c>
      <c r="O2191" s="15"/>
      <c r="P2191" s="6">
        <v>40635.403738425928</v>
      </c>
      <c r="Q2191" s="16" t="s">
        <v>1255</v>
      </c>
      <c r="R2191" s="17" t="s">
        <v>1256</v>
      </c>
      <c r="S2191" s="11"/>
      <c r="T2191" s="11"/>
      <c r="U2191" s="10" t="str">
        <f>HYPERLINK("https://pbs.twimg.com/profile_images/1708357639/obiwankenobi1.jpg","View")</f>
        <v>View</v>
      </c>
    </row>
    <row r="2192" spans="1:21" ht="40.799999999999997">
      <c r="A2192" s="6">
        <v>43424.433298611111</v>
      </c>
      <c r="B2192" s="7" t="str">
        <f>HYPERLINK("https://twitter.com/elcierzo2018","@elcierzo2018")</f>
        <v>@elcierzo2018</v>
      </c>
      <c r="C2192" s="8" t="s">
        <v>5030</v>
      </c>
      <c r="D2192" s="9" t="s">
        <v>5031</v>
      </c>
      <c r="E2192" s="10" t="str">
        <f>HYPERLINK("https://twitter.com/elcierzo2018/status/1064947469677723648","1064947469677723648")</f>
        <v>1064947469677723648</v>
      </c>
      <c r="F2192" s="14" t="s">
        <v>5032</v>
      </c>
      <c r="G2192" s="11"/>
      <c r="H2192" s="11"/>
      <c r="I2192" s="12">
        <v>0</v>
      </c>
      <c r="J2192" s="12">
        <v>0</v>
      </c>
      <c r="K2192" s="13" t="str">
        <f>HYPERLINK("http://twitter.com/download/iphone","Twitter for iPhone")</f>
        <v>Twitter for iPhone</v>
      </c>
      <c r="L2192" s="12">
        <v>422</v>
      </c>
      <c r="M2192" s="12">
        <v>921</v>
      </c>
      <c r="N2192" s="12">
        <v>2</v>
      </c>
      <c r="O2192" s="15"/>
      <c r="P2192" s="6">
        <v>43159.357557870375</v>
      </c>
      <c r="Q2192" s="16" t="s">
        <v>5034</v>
      </c>
      <c r="R2192" s="17" t="s">
        <v>5035</v>
      </c>
      <c r="S2192" s="11"/>
      <c r="T2192" s="11"/>
      <c r="U2192" s="10" t="str">
        <f>HYPERLINK("https://pbs.twimg.com/profile_images/968932585974923266/eRZoOryn.jpg","View")</f>
        <v>View</v>
      </c>
    </row>
    <row r="2193" spans="1:21" ht="61.2">
      <c r="A2193" s="6">
        <v>43424.432627314818</v>
      </c>
      <c r="B2193" s="7" t="str">
        <f>HYPERLINK("https://twitter.com/Francis23536992","@Francis23536992")</f>
        <v>@Francis23536992</v>
      </c>
      <c r="C2193" s="8" t="s">
        <v>5842</v>
      </c>
      <c r="D2193" s="9" t="s">
        <v>8087</v>
      </c>
      <c r="E2193" s="10" t="str">
        <f>HYPERLINK("https://twitter.com/Francis23536992/status/1064947229742354432","1064947229742354432")</f>
        <v>1064947229742354432</v>
      </c>
      <c r="F2193" s="11"/>
      <c r="G2193" s="11"/>
      <c r="H2193" s="11"/>
      <c r="I2193" s="12">
        <v>11</v>
      </c>
      <c r="J2193" s="12">
        <v>4</v>
      </c>
      <c r="K2193" s="13" t="str">
        <f t="shared" ref="K2193:K2195" si="456">HYPERLINK("http://twitter.com/download/android","Twitter for Android")</f>
        <v>Twitter for Android</v>
      </c>
      <c r="L2193" s="12">
        <v>47</v>
      </c>
      <c r="M2193" s="12">
        <v>14</v>
      </c>
      <c r="N2193" s="12">
        <v>0</v>
      </c>
      <c r="O2193" s="15"/>
      <c r="P2193" s="6">
        <v>43372.39329861111</v>
      </c>
      <c r="Q2193" s="16" t="s">
        <v>5844</v>
      </c>
      <c r="R2193" s="19"/>
      <c r="S2193" s="11"/>
      <c r="T2193" s="11"/>
      <c r="U2193" s="10" t="str">
        <f>HYPERLINK("https://pbs.twimg.com/profile_images/1048959422792433665/EB-D_62c.jpg","View")</f>
        <v>View</v>
      </c>
    </row>
    <row r="2194" spans="1:21" ht="30.6">
      <c r="A2194" s="6">
        <v>43424.432453703703</v>
      </c>
      <c r="B2194" s="7" t="str">
        <f>HYPERLINK("https://twitter.com/bcnmonforte","@bcnmonforte")</f>
        <v>@bcnmonforte</v>
      </c>
      <c r="C2194" s="8" t="s">
        <v>8088</v>
      </c>
      <c r="D2194" s="9" t="s">
        <v>8089</v>
      </c>
      <c r="E2194" s="10" t="str">
        <f>HYPERLINK("https://twitter.com/bcnmonforte/status/1064947163023753216","1064947163023753216")</f>
        <v>1064947163023753216</v>
      </c>
      <c r="F2194" s="14" t="s">
        <v>7059</v>
      </c>
      <c r="G2194" s="11"/>
      <c r="H2194" s="11"/>
      <c r="I2194" s="12">
        <v>0</v>
      </c>
      <c r="J2194" s="12">
        <v>0</v>
      </c>
      <c r="K2194" s="13" t="str">
        <f t="shared" si="456"/>
        <v>Twitter for Android</v>
      </c>
      <c r="L2194" s="12">
        <v>13170</v>
      </c>
      <c r="M2194" s="12">
        <v>14160</v>
      </c>
      <c r="N2194" s="12">
        <v>43</v>
      </c>
      <c r="O2194" s="15"/>
      <c r="P2194" s="6">
        <v>40855.074872685189</v>
      </c>
      <c r="Q2194" s="11"/>
      <c r="R2194" s="17" t="s">
        <v>8090</v>
      </c>
      <c r="S2194" s="11"/>
      <c r="T2194" s="11"/>
      <c r="U2194" s="10" t="str">
        <f>HYPERLINK("https://pbs.twimg.com/profile_images/3693864334/ab8d700e3cc59614ef51cd69bb0214c6.jpeg","View")</f>
        <v>View</v>
      </c>
    </row>
    <row r="2195" spans="1:21" ht="51">
      <c r="A2195" s="6">
        <v>43424.431631944448</v>
      </c>
      <c r="B2195" s="7" t="str">
        <f>HYPERLINK("https://twitter.com/Venus22456","@Venus22456")</f>
        <v>@Venus22456</v>
      </c>
      <c r="C2195" s="8" t="s">
        <v>5037</v>
      </c>
      <c r="D2195" s="9" t="s">
        <v>5038</v>
      </c>
      <c r="E2195" s="10" t="str">
        <f>HYPERLINK("https://twitter.com/Venus22456/status/1064946867153354753","1064946867153354753")</f>
        <v>1064946867153354753</v>
      </c>
      <c r="F2195" s="11"/>
      <c r="G2195" s="14" t="s">
        <v>5041</v>
      </c>
      <c r="H2195" s="11"/>
      <c r="I2195" s="12">
        <v>3</v>
      </c>
      <c r="J2195" s="12">
        <v>2</v>
      </c>
      <c r="K2195" s="13" t="str">
        <f t="shared" si="456"/>
        <v>Twitter for Android</v>
      </c>
      <c r="L2195" s="12">
        <v>76</v>
      </c>
      <c r="M2195" s="12">
        <v>112</v>
      </c>
      <c r="N2195" s="12">
        <v>0</v>
      </c>
      <c r="O2195" s="15"/>
      <c r="P2195" s="6">
        <v>43397.881412037037</v>
      </c>
      <c r="Q2195" s="11"/>
      <c r="R2195" s="19"/>
      <c r="S2195" s="11"/>
      <c r="T2195" s="11"/>
      <c r="U2195" s="10" t="str">
        <f>HYPERLINK("https://pbs.twimg.com/profile_images/1055312667408297985/YeNBcB13.jpg","View")</f>
        <v>View</v>
      </c>
    </row>
    <row r="2196" spans="1:21" ht="30.6">
      <c r="A2196" s="6">
        <v>43424.431261574078</v>
      </c>
      <c r="B2196" s="7" t="str">
        <f>HYPERLINK("https://twitter.com/elimparciales","@elimparciales")</f>
        <v>@elimparciales</v>
      </c>
      <c r="C2196" s="8" t="s">
        <v>8091</v>
      </c>
      <c r="D2196" s="9" t="s">
        <v>8092</v>
      </c>
      <c r="E2196" s="10" t="str">
        <f>HYPERLINK("https://twitter.com/elimparciales/status/1064946733506007041","1064946733506007041")</f>
        <v>1064946733506007041</v>
      </c>
      <c r="F2196" s="14" t="s">
        <v>8093</v>
      </c>
      <c r="G2196" s="11"/>
      <c r="H2196" s="11"/>
      <c r="I2196" s="12">
        <v>0</v>
      </c>
      <c r="J2196" s="12">
        <v>0</v>
      </c>
      <c r="K2196" s="13" t="str">
        <f>HYPERLINK("http://twitter.com","Twitter Web Client")</f>
        <v>Twitter Web Client</v>
      </c>
      <c r="L2196" s="12">
        <v>11552</v>
      </c>
      <c r="M2196" s="12">
        <v>369</v>
      </c>
      <c r="N2196" s="12">
        <v>537</v>
      </c>
      <c r="O2196" s="15"/>
      <c r="P2196" s="6">
        <v>39919.982499999998</v>
      </c>
      <c r="Q2196" s="16" t="s">
        <v>28</v>
      </c>
      <c r="R2196" s="17" t="s">
        <v>8094</v>
      </c>
      <c r="S2196" s="14" t="s">
        <v>8095</v>
      </c>
      <c r="T2196" s="11"/>
      <c r="U2196" s="10" t="str">
        <f>HYPERLINK("https://pbs.twimg.com/profile_images/974262443810742272/5ZVdtCJY.jpg","View")</f>
        <v>View</v>
      </c>
    </row>
    <row r="2197" spans="1:21" ht="30.6">
      <c r="A2197" s="6">
        <v>43424.428726851853</v>
      </c>
      <c r="B2197" s="7" t="str">
        <f>HYPERLINK("https://twitter.com/bcnmonforte","@bcnmonforte")</f>
        <v>@bcnmonforte</v>
      </c>
      <c r="C2197" s="8" t="s">
        <v>8088</v>
      </c>
      <c r="D2197" s="9" t="s">
        <v>8096</v>
      </c>
      <c r="E2197" s="10" t="str">
        <f>HYPERLINK("https://twitter.com/bcnmonforte/status/1064945814517231616","1064945814517231616")</f>
        <v>1064945814517231616</v>
      </c>
      <c r="F2197" s="14" t="s">
        <v>2122</v>
      </c>
      <c r="G2197" s="11"/>
      <c r="H2197" s="11"/>
      <c r="I2197" s="12">
        <v>1</v>
      </c>
      <c r="J2197" s="12">
        <v>1</v>
      </c>
      <c r="K2197" s="13" t="str">
        <f t="shared" ref="K2197:K2198" si="457">HYPERLINK("http://twitter.com/download/android","Twitter for Android")</f>
        <v>Twitter for Android</v>
      </c>
      <c r="L2197" s="12">
        <v>13170</v>
      </c>
      <c r="M2197" s="12">
        <v>14160</v>
      </c>
      <c r="N2197" s="12">
        <v>43</v>
      </c>
      <c r="O2197" s="15"/>
      <c r="P2197" s="6">
        <v>40855.074872685189</v>
      </c>
      <c r="Q2197" s="11"/>
      <c r="R2197" s="17" t="s">
        <v>8090</v>
      </c>
      <c r="S2197" s="11"/>
      <c r="T2197" s="11"/>
      <c r="U2197" s="10" t="str">
        <f>HYPERLINK("https://pbs.twimg.com/profile_images/3693864334/ab8d700e3cc59614ef51cd69bb0214c6.jpeg","View")</f>
        <v>View</v>
      </c>
    </row>
    <row r="2198" spans="1:21" ht="51">
      <c r="A2198" s="6">
        <v>43424.428275462968</v>
      </c>
      <c r="B2198" s="7" t="str">
        <f>HYPERLINK("https://twitter.com/lolakiki32","@lolakiki32")</f>
        <v>@lolakiki32</v>
      </c>
      <c r="C2198" s="8" t="s">
        <v>4986</v>
      </c>
      <c r="D2198" s="9" t="s">
        <v>5043</v>
      </c>
      <c r="E2198" s="10" t="str">
        <f>HYPERLINK("https://twitter.com/lolakiki32/status/1064945649802797056","1064945649802797056")</f>
        <v>1064945649802797056</v>
      </c>
      <c r="F2198" s="11"/>
      <c r="G2198" s="11"/>
      <c r="H2198" s="11"/>
      <c r="I2198" s="12">
        <v>34</v>
      </c>
      <c r="J2198" s="12">
        <v>10</v>
      </c>
      <c r="K2198" s="13" t="str">
        <f t="shared" si="457"/>
        <v>Twitter for Android</v>
      </c>
      <c r="L2198" s="12">
        <v>118</v>
      </c>
      <c r="M2198" s="12">
        <v>477</v>
      </c>
      <c r="N2198" s="12">
        <v>0</v>
      </c>
      <c r="O2198" s="15"/>
      <c r="P2198" s="6">
        <v>40586.656666666662</v>
      </c>
      <c r="Q2198" s="16" t="s">
        <v>4988</v>
      </c>
      <c r="R2198" s="17" t="s">
        <v>4989</v>
      </c>
      <c r="S2198" s="11"/>
      <c r="T2198" s="11"/>
      <c r="U2198" s="10" t="str">
        <f>HYPERLINK("https://pbs.twimg.com/profile_images/939274069794590720/HZYsoYLS.jpg","View")</f>
        <v>View</v>
      </c>
    </row>
    <row r="2199" spans="1:21" ht="112.2">
      <c r="A2199" s="6">
        <v>43424.426041666666</v>
      </c>
      <c r="B2199" s="7" t="str">
        <f>HYPERLINK("https://twitter.com/BoquiEnfurecido","@BoquiEnfurecido")</f>
        <v>@BoquiEnfurecido</v>
      </c>
      <c r="C2199" s="8" t="s">
        <v>5044</v>
      </c>
      <c r="D2199" s="9" t="s">
        <v>5045</v>
      </c>
      <c r="E2199" s="10" t="str">
        <f>HYPERLINK("https://twitter.com/BoquiEnfurecido/status/1064944840159490050","1064944840159490050")</f>
        <v>1064944840159490050</v>
      </c>
      <c r="F2199" s="14" t="s">
        <v>5046</v>
      </c>
      <c r="G2199" s="14" t="s">
        <v>5047</v>
      </c>
      <c r="H2199" s="11"/>
      <c r="I2199" s="12">
        <v>11</v>
      </c>
      <c r="J2199" s="12">
        <v>6</v>
      </c>
      <c r="K2199" s="13" t="str">
        <f>HYPERLINK("http://twitter.com/download/iphone","Twitter for iPhone")</f>
        <v>Twitter for iPhone</v>
      </c>
      <c r="L2199" s="12">
        <v>61</v>
      </c>
      <c r="M2199" s="12">
        <v>163</v>
      </c>
      <c r="N2199" s="12">
        <v>0</v>
      </c>
      <c r="O2199" s="15"/>
      <c r="P2199" s="6">
        <v>43424.388761574075</v>
      </c>
      <c r="Q2199" s="11"/>
      <c r="R2199" s="17" t="s">
        <v>5048</v>
      </c>
      <c r="S2199" s="11"/>
      <c r="T2199" s="11"/>
      <c r="U2199" s="10" t="str">
        <f>HYPERLINK("https://pbs.twimg.com/profile_images/1064932523246055424/4bIQJObB.jpg","View")</f>
        <v>View</v>
      </c>
    </row>
    <row r="2200" spans="1:21" ht="30.6">
      <c r="A2200" s="6">
        <v>43424.42597222222</v>
      </c>
      <c r="B2200" s="7" t="str">
        <f>HYPERLINK("https://twitter.com/J7Barrero","@J7Barrero")</f>
        <v>@J7Barrero</v>
      </c>
      <c r="C2200" s="8" t="s">
        <v>8097</v>
      </c>
      <c r="D2200" s="9" t="s">
        <v>8098</v>
      </c>
      <c r="E2200" s="10" t="str">
        <f>HYPERLINK("https://twitter.com/J7Barrero/status/1064944814188388352","1064944814188388352")</f>
        <v>1064944814188388352</v>
      </c>
      <c r="F2200" s="11"/>
      <c r="G2200" s="11"/>
      <c r="H2200" s="11"/>
      <c r="I2200" s="12">
        <v>0</v>
      </c>
      <c r="J2200" s="12">
        <v>1</v>
      </c>
      <c r="K2200" s="13" t="str">
        <f t="shared" ref="K2200:K2201" si="458">HYPERLINK("http://twitter.com/download/android","Twitter for Android")</f>
        <v>Twitter for Android</v>
      </c>
      <c r="L2200" s="12">
        <v>1399</v>
      </c>
      <c r="M2200" s="12">
        <v>2814</v>
      </c>
      <c r="N2200" s="12">
        <v>27</v>
      </c>
      <c r="O2200" s="15"/>
      <c r="P2200" s="6">
        <v>40389.139131944445</v>
      </c>
      <c r="Q2200" s="16" t="s">
        <v>8099</v>
      </c>
      <c r="R2200" s="17" t="s">
        <v>8100</v>
      </c>
      <c r="S2200" s="14" t="s">
        <v>8101</v>
      </c>
      <c r="T2200" s="11"/>
      <c r="U2200" s="10" t="str">
        <f>HYPERLINK("https://pbs.twimg.com/profile_images/1049766135523147782/npJpP-Fv.jpg","View")</f>
        <v>View</v>
      </c>
    </row>
    <row r="2201" spans="1:21" ht="20.399999999999999">
      <c r="A2201" s="6">
        <v>43424.425312499996</v>
      </c>
      <c r="B2201" s="7" t="str">
        <f>HYPERLINK("https://twitter.com/CsBarbadas","@CsBarbadas")</f>
        <v>@CsBarbadas</v>
      </c>
      <c r="C2201" s="8" t="s">
        <v>8102</v>
      </c>
      <c r="D2201" s="9" t="s">
        <v>8103</v>
      </c>
      <c r="E2201" s="10" t="str">
        <f>HYPERLINK("https://twitter.com/CsBarbadas/status/1064944576157425666","1064944576157425666")</f>
        <v>1064944576157425666</v>
      </c>
      <c r="F2201" s="11"/>
      <c r="G2201" s="14" t="s">
        <v>8104</v>
      </c>
      <c r="H2201" s="11"/>
      <c r="I2201" s="12">
        <v>4</v>
      </c>
      <c r="J2201" s="12">
        <v>3</v>
      </c>
      <c r="K2201" s="13" t="str">
        <f t="shared" si="458"/>
        <v>Twitter for Android</v>
      </c>
      <c r="L2201" s="12">
        <v>29</v>
      </c>
      <c r="M2201" s="12">
        <v>71</v>
      </c>
      <c r="N2201" s="12">
        <v>0</v>
      </c>
      <c r="O2201" s="15"/>
      <c r="P2201" s="6">
        <v>43424.200254629628</v>
      </c>
      <c r="Q2201" s="11"/>
      <c r="R2201" s="19"/>
      <c r="S2201" s="11"/>
      <c r="T2201" s="11"/>
      <c r="U2201" s="10" t="str">
        <f>HYPERLINK("https://pbs.twimg.com/profile_images/1064863444619485184/NukHfZUX.jpg","View")</f>
        <v>View</v>
      </c>
    </row>
    <row r="2202" spans="1:21" ht="20.399999999999999">
      <c r="A2202" s="6">
        <v>43424.424826388888</v>
      </c>
      <c r="B2202" s="7" t="str">
        <f>HYPERLINK("https://twitter.com/ines_cedron","@ines_cedron")</f>
        <v>@ines_cedron</v>
      </c>
      <c r="C2202" s="8" t="s">
        <v>8105</v>
      </c>
      <c r="D2202" s="9" t="s">
        <v>8106</v>
      </c>
      <c r="E2202" s="10" t="str">
        <f>HYPERLINK("https://twitter.com/ines_cedron/status/1064944401082916865","1064944401082916865")</f>
        <v>1064944401082916865</v>
      </c>
      <c r="F2202" s="14" t="s">
        <v>7385</v>
      </c>
      <c r="G2202" s="11"/>
      <c r="H2202" s="11"/>
      <c r="I2202" s="12">
        <v>0</v>
      </c>
      <c r="J2202" s="12">
        <v>0</v>
      </c>
      <c r="K2202" s="13" t="str">
        <f>HYPERLINK("http://twitter.com/download/iphone","Twitter for iPhone")</f>
        <v>Twitter for iPhone</v>
      </c>
      <c r="L2202" s="12">
        <v>38</v>
      </c>
      <c r="M2202" s="12">
        <v>234</v>
      </c>
      <c r="N2202" s="12">
        <v>1</v>
      </c>
      <c r="O2202" s="15"/>
      <c r="P2202" s="6">
        <v>42704.95239583333</v>
      </c>
      <c r="Q2202" s="11"/>
      <c r="R2202" s="19"/>
      <c r="S2202" s="11"/>
      <c r="T2202" s="11"/>
      <c r="U2202" s="10" t="str">
        <f>HYPERLINK("https://pbs.twimg.com/profile_images/817846400021131264/1MG8Wpx4.jpg","View")</f>
        <v>View</v>
      </c>
    </row>
    <row r="2203" spans="1:21" ht="20.399999999999999">
      <c r="A2203" s="6">
        <v>43424.42465277778</v>
      </c>
      <c r="B2203" s="7" t="str">
        <f>HYPERLINK("https://twitter.com/soumi40","@soumi40")</f>
        <v>@soumi40</v>
      </c>
      <c r="C2203" s="8" t="s">
        <v>6964</v>
      </c>
      <c r="D2203" s="9" t="s">
        <v>7831</v>
      </c>
      <c r="E2203" s="10" t="str">
        <f>HYPERLINK("https://twitter.com/soumi40/status/1064944336452894720","1064944336452894720")</f>
        <v>1064944336452894720</v>
      </c>
      <c r="F2203" s="14" t="s">
        <v>7832</v>
      </c>
      <c r="G2203" s="11"/>
      <c r="H2203" s="11"/>
      <c r="I2203" s="12">
        <v>0</v>
      </c>
      <c r="J2203" s="12">
        <v>0</v>
      </c>
      <c r="K2203" s="13" t="str">
        <f t="shared" ref="K2203:K2205" si="459">HYPERLINK("http://twitter.com","Twitter Web Client")</f>
        <v>Twitter Web Client</v>
      </c>
      <c r="L2203" s="12">
        <v>10</v>
      </c>
      <c r="M2203" s="12">
        <v>65</v>
      </c>
      <c r="N2203" s="12">
        <v>2</v>
      </c>
      <c r="O2203" s="15"/>
      <c r="P2203" s="6">
        <v>41347.536261574074</v>
      </c>
      <c r="Q2203" s="16" t="s">
        <v>38</v>
      </c>
      <c r="R2203" s="17" t="s">
        <v>6965</v>
      </c>
      <c r="S2203" s="11"/>
      <c r="T2203" s="11"/>
      <c r="U2203" s="10" t="str">
        <f>HYPERLINK("https://pbs.twimg.com/profile_images/922867707254538240/ig4Fa5mO.jpg","View")</f>
        <v>View</v>
      </c>
    </row>
    <row r="2204" spans="1:21" ht="40.799999999999997">
      <c r="A2204" s="6">
        <v>43424.420381944445</v>
      </c>
      <c r="B2204" s="7" t="str">
        <f>HYPERLINK("https://twitter.com/migupelo2","@migupelo2")</f>
        <v>@migupelo2</v>
      </c>
      <c r="C2204" s="8" t="s">
        <v>354</v>
      </c>
      <c r="D2204" s="9" t="s">
        <v>5049</v>
      </c>
      <c r="E2204" s="10" t="str">
        <f>HYPERLINK("https://twitter.com/migupelo2/status/1064942790449250306","1064942790449250306")</f>
        <v>1064942790449250306</v>
      </c>
      <c r="F2204" s="14" t="s">
        <v>5050</v>
      </c>
      <c r="G2204" s="11"/>
      <c r="H2204" s="11"/>
      <c r="I2204" s="12">
        <v>0</v>
      </c>
      <c r="J2204" s="12">
        <v>0</v>
      </c>
      <c r="K2204" s="13" t="str">
        <f t="shared" si="459"/>
        <v>Twitter Web Client</v>
      </c>
      <c r="L2204" s="12">
        <v>264</v>
      </c>
      <c r="M2204" s="12">
        <v>760</v>
      </c>
      <c r="N2204" s="12">
        <v>18</v>
      </c>
      <c r="O2204" s="15"/>
      <c r="P2204" s="6">
        <v>40477.493043981478</v>
      </c>
      <c r="Q2204" s="11"/>
      <c r="R2204" s="17" t="s">
        <v>357</v>
      </c>
      <c r="S2204" s="11"/>
      <c r="T2204" s="11"/>
      <c r="U2204" s="10" t="str">
        <f>HYPERLINK("https://pbs.twimg.com/profile_images/2906316440/4ed1570f50fd6f70f1b28d458997dd81.jpeg","View")</f>
        <v>View</v>
      </c>
    </row>
    <row r="2205" spans="1:21" ht="51">
      <c r="A2205" s="6">
        <v>43424.420219907406</v>
      </c>
      <c r="B2205" s="7" t="str">
        <f>HYPERLINK("https://twitter.com/diego_gon","@diego_gon")</f>
        <v>@diego_gon</v>
      </c>
      <c r="C2205" s="8" t="s">
        <v>8107</v>
      </c>
      <c r="D2205" s="9" t="s">
        <v>8108</v>
      </c>
      <c r="E2205" s="10" t="str">
        <f>HYPERLINK("https://twitter.com/diego_gon/status/1064942731796058112","1064942731796058112")</f>
        <v>1064942731796058112</v>
      </c>
      <c r="F2205" s="11"/>
      <c r="G2205" s="11"/>
      <c r="H2205" s="11"/>
      <c r="I2205" s="12">
        <v>50</v>
      </c>
      <c r="J2205" s="12">
        <v>126</v>
      </c>
      <c r="K2205" s="13" t="str">
        <f t="shared" si="459"/>
        <v>Twitter Web Client</v>
      </c>
      <c r="L2205" s="12">
        <v>5637</v>
      </c>
      <c r="M2205" s="12">
        <v>1043</v>
      </c>
      <c r="N2205" s="12">
        <v>134</v>
      </c>
      <c r="O2205" s="15"/>
      <c r="P2205" s="6">
        <v>40214.116412037038</v>
      </c>
      <c r="Q2205" s="16" t="s">
        <v>406</v>
      </c>
      <c r="R2205" s="17" t="s">
        <v>8109</v>
      </c>
      <c r="S2205" s="14" t="s">
        <v>8110</v>
      </c>
      <c r="T2205" s="11"/>
      <c r="U2205" s="10" t="str">
        <f>HYPERLINK("https://pbs.twimg.com/profile_images/1058321257547087872/Ce-sM6aF.jpg","View")</f>
        <v>View</v>
      </c>
    </row>
    <row r="2206" spans="1:21" ht="20.399999999999999">
      <c r="A2206" s="6">
        <v>43424.420104166667</v>
      </c>
      <c r="B2206" s="7" t="str">
        <f>HYPERLINK("https://twitter.com/gruizsuarez","@gruizsuarez")</f>
        <v>@gruizsuarez</v>
      </c>
      <c r="C2206" s="8" t="s">
        <v>5051</v>
      </c>
      <c r="D2206" s="9" t="s">
        <v>5052</v>
      </c>
      <c r="E2206" s="10" t="str">
        <f>HYPERLINK("https://twitter.com/gruizsuarez/status/1064942690821988353","1064942690821988353")</f>
        <v>1064942690821988353</v>
      </c>
      <c r="F2206" s="11"/>
      <c r="G2206" s="14" t="s">
        <v>5053</v>
      </c>
      <c r="H2206" s="11"/>
      <c r="I2206" s="12">
        <v>0</v>
      </c>
      <c r="J2206" s="12">
        <v>0</v>
      </c>
      <c r="K2206" s="13" t="str">
        <f>HYPERLINK("http://twitter.com/download/iphone","Twitter for iPhone")</f>
        <v>Twitter for iPhone</v>
      </c>
      <c r="L2206" s="12">
        <v>14</v>
      </c>
      <c r="M2206" s="12">
        <v>153</v>
      </c>
      <c r="N2206" s="12">
        <v>0</v>
      </c>
      <c r="O2206" s="15"/>
      <c r="P2206" s="6">
        <v>43407.358576388884</v>
      </c>
      <c r="Q2206" s="16" t="s">
        <v>38</v>
      </c>
      <c r="R2206" s="17" t="s">
        <v>5054</v>
      </c>
      <c r="S2206" s="11"/>
      <c r="T2206" s="11"/>
      <c r="U2206" s="10" t="str">
        <f>HYPERLINK("https://pbs.twimg.com/profile_images/1058745426734661632/ipzmsBfb.jpg","View")</f>
        <v>View</v>
      </c>
    </row>
    <row r="2207" spans="1:21" ht="51">
      <c r="A2207" s="6">
        <v>43424.418530092589</v>
      </c>
      <c r="B2207" s="7" t="str">
        <f>HYPERLINK("https://twitter.com/Sergio_MartinC","@Sergio_MartinC")</f>
        <v>@Sergio_MartinC</v>
      </c>
      <c r="C2207" s="8" t="s">
        <v>5056</v>
      </c>
      <c r="D2207" s="9" t="s">
        <v>5057</v>
      </c>
      <c r="E2207" s="10" t="str">
        <f>HYPERLINK("https://twitter.com/Sergio_MartinC/status/1064942117477339136","1064942117477339136")</f>
        <v>1064942117477339136</v>
      </c>
      <c r="F2207" s="14" t="s">
        <v>5058</v>
      </c>
      <c r="G2207" s="14" t="s">
        <v>5060</v>
      </c>
      <c r="H2207" s="11"/>
      <c r="I2207" s="12">
        <v>4</v>
      </c>
      <c r="J2207" s="12">
        <v>8</v>
      </c>
      <c r="K2207" s="13" t="str">
        <f>HYPERLINK("http://twitter.com","Twitter Web Client")</f>
        <v>Twitter Web Client</v>
      </c>
      <c r="L2207" s="12">
        <v>918</v>
      </c>
      <c r="M2207" s="12">
        <v>873</v>
      </c>
      <c r="N2207" s="12">
        <v>13</v>
      </c>
      <c r="O2207" s="15"/>
      <c r="P2207" s="6">
        <v>40684.176666666666</v>
      </c>
      <c r="Q2207" s="16" t="s">
        <v>502</v>
      </c>
      <c r="R2207" s="17" t="s">
        <v>5064</v>
      </c>
      <c r="S2207" s="14" t="s">
        <v>419</v>
      </c>
      <c r="T2207" s="11"/>
      <c r="U2207" s="10" t="str">
        <f>HYPERLINK("https://pbs.twimg.com/profile_images/925799534877466625/HaBB1DQw.jpg","View")</f>
        <v>View</v>
      </c>
    </row>
    <row r="2208" spans="1:21" ht="102">
      <c r="A2208" s="6">
        <v>43424.417187500003</v>
      </c>
      <c r="B2208" s="7" t="str">
        <f>HYPERLINK("https://twitter.com/nalandalus","@nalandalus")</f>
        <v>@nalandalus</v>
      </c>
      <c r="C2208" s="8" t="s">
        <v>5065</v>
      </c>
      <c r="D2208" s="9" t="s">
        <v>5066</v>
      </c>
      <c r="E2208" s="10" t="str">
        <f>HYPERLINK("https://twitter.com/nalandalus/status/1064941631760228352","1064941631760228352")</f>
        <v>1064941631760228352</v>
      </c>
      <c r="F2208" s="16" t="s">
        <v>5067</v>
      </c>
      <c r="G2208" s="14" t="s">
        <v>5068</v>
      </c>
      <c r="H2208" s="11"/>
      <c r="I2208" s="12">
        <v>0</v>
      </c>
      <c r="J2208" s="12">
        <v>0</v>
      </c>
      <c r="K2208" s="13" t="str">
        <f>HYPERLINK("http://twitter.com/#!/download/ipad","Twitter for iPad")</f>
        <v>Twitter for iPad</v>
      </c>
      <c r="L2208" s="12">
        <v>27</v>
      </c>
      <c r="M2208" s="12">
        <v>34</v>
      </c>
      <c r="N2208" s="12">
        <v>23</v>
      </c>
      <c r="O2208" s="15"/>
      <c r="P2208" s="6">
        <v>42250.327384259261</v>
      </c>
      <c r="Q2208" s="16" t="s">
        <v>5069</v>
      </c>
      <c r="R2208" s="17" t="s">
        <v>5070</v>
      </c>
      <c r="S2208" s="11"/>
      <c r="T2208" s="11"/>
      <c r="U2208" s="10" t="str">
        <f>HYPERLINK("https://pbs.twimg.com/profile_images/1024194728529674240/FzjDTtAy.jpg","View")</f>
        <v>View</v>
      </c>
    </row>
    <row r="2209" spans="1:21" ht="13.2">
      <c r="A2209" s="6">
        <v>43424.416041666671</v>
      </c>
      <c r="B2209" s="7" t="str">
        <f>HYPERLINK("https://twitter.com/diario_de_avila","@diario_de_avila")</f>
        <v>@diario_de_avila</v>
      </c>
      <c r="C2209" s="8" t="s">
        <v>8111</v>
      </c>
      <c r="D2209" s="9" t="s">
        <v>8112</v>
      </c>
      <c r="E2209" s="10" t="str">
        <f>HYPERLINK("https://twitter.com/diario_de_avila/status/1064941215898955776","1064941215898955776")</f>
        <v>1064941215898955776</v>
      </c>
      <c r="F2209" s="14" t="s">
        <v>8113</v>
      </c>
      <c r="G2209" s="14" t="s">
        <v>8114</v>
      </c>
      <c r="H2209" s="11"/>
      <c r="I2209" s="12">
        <v>1</v>
      </c>
      <c r="J2209" s="12">
        <v>1</v>
      </c>
      <c r="K2209" s="13" t="str">
        <f>HYPERLINK("https://dlvrit.com/","dlvr.it")</f>
        <v>dlvr.it</v>
      </c>
      <c r="L2209" s="12">
        <v>11352</v>
      </c>
      <c r="M2209" s="12">
        <v>258</v>
      </c>
      <c r="N2209" s="12">
        <v>196</v>
      </c>
      <c r="O2209" s="15"/>
      <c r="P2209" s="6">
        <v>40389.366886574076</v>
      </c>
      <c r="Q2209" s="16" t="s">
        <v>4642</v>
      </c>
      <c r="R2209" s="17" t="s">
        <v>8115</v>
      </c>
      <c r="S2209" s="14" t="s">
        <v>8116</v>
      </c>
      <c r="T2209" s="11"/>
      <c r="U2209" s="10" t="str">
        <f>HYPERLINK("https://pbs.twimg.com/profile_images/378800000220917346/fa1a93c05a166cc3b69ced5427188606.png","View")</f>
        <v>View</v>
      </c>
    </row>
    <row r="2210" spans="1:21" ht="20.399999999999999">
      <c r="A2210" s="6">
        <v>43424.415578703702</v>
      </c>
      <c r="B2210" s="7" t="str">
        <f>HYPERLINK("https://twitter.com/NihilistaI","@NihilistaI")</f>
        <v>@NihilistaI</v>
      </c>
      <c r="C2210" s="8" t="s">
        <v>5071</v>
      </c>
      <c r="D2210" s="9" t="s">
        <v>5072</v>
      </c>
      <c r="E2210" s="10" t="str">
        <f>HYPERLINK("https://twitter.com/NihilistaI/status/1064941047795630080","1064941047795630080")</f>
        <v>1064941047795630080</v>
      </c>
      <c r="F2210" s="11"/>
      <c r="G2210" s="11"/>
      <c r="H2210" s="11"/>
      <c r="I2210" s="12">
        <v>0</v>
      </c>
      <c r="J2210" s="12">
        <v>0</v>
      </c>
      <c r="K2210" s="13" t="str">
        <f>HYPERLINK("http://twitter.com/download/android","Twitter for Android")</f>
        <v>Twitter for Android</v>
      </c>
      <c r="L2210" s="12">
        <v>14</v>
      </c>
      <c r="M2210" s="12">
        <v>140</v>
      </c>
      <c r="N2210" s="12">
        <v>0</v>
      </c>
      <c r="O2210" s="15"/>
      <c r="P2210" s="6">
        <v>43424.326608796298</v>
      </c>
      <c r="Q2210" s="11"/>
      <c r="R2210" s="17" t="s">
        <v>5073</v>
      </c>
      <c r="S2210" s="11"/>
      <c r="T2210" s="11"/>
      <c r="U2210" s="10" t="str">
        <f>HYPERLINK("https://pbs.twimg.com/profile_images/1064910833443057664/8d0XL3Ie.jpg","View")</f>
        <v>View</v>
      </c>
    </row>
    <row r="2211" spans="1:21" ht="20.399999999999999">
      <c r="A2211" s="6">
        <v>43424.414629629631</v>
      </c>
      <c r="B2211" s="7" t="str">
        <f>HYPERLINK("https://twitter.com/freetourmadrid","@freetourmadrid")</f>
        <v>@freetourmadrid</v>
      </c>
      <c r="C2211" s="8" t="s">
        <v>7361</v>
      </c>
      <c r="D2211" s="9" t="s">
        <v>7957</v>
      </c>
      <c r="E2211" s="10" t="str">
        <f>HYPERLINK("https://twitter.com/freetourmadrid/status/1064940706790350848","1064940706790350848")</f>
        <v>1064940706790350848</v>
      </c>
      <c r="F2211" s="14" t="s">
        <v>8117</v>
      </c>
      <c r="G2211" s="11"/>
      <c r="H2211" s="11"/>
      <c r="I2211" s="12">
        <v>0</v>
      </c>
      <c r="J2211" s="12">
        <v>0</v>
      </c>
      <c r="K2211" s="13" t="str">
        <f>HYPERLINK("http://www.facebook.com/twitter","Facebook")</f>
        <v>Facebook</v>
      </c>
      <c r="L2211" s="12">
        <v>384</v>
      </c>
      <c r="M2211" s="12">
        <v>510</v>
      </c>
      <c r="N2211" s="12">
        <v>38</v>
      </c>
      <c r="O2211" s="15"/>
      <c r="P2211" s="6">
        <v>41618.058113425926</v>
      </c>
      <c r="Q2211" s="16" t="s">
        <v>87</v>
      </c>
      <c r="R2211" s="17" t="s">
        <v>7363</v>
      </c>
      <c r="S2211" s="14" t="s">
        <v>7364</v>
      </c>
      <c r="T2211" s="11"/>
      <c r="U2211" s="10" t="str">
        <f>HYPERLINK("https://pbs.twimg.com/profile_images/834642385225314304/talNc51x.jpg","View")</f>
        <v>View</v>
      </c>
    </row>
    <row r="2212" spans="1:21" ht="40.799999999999997">
      <c r="A2212" s="6">
        <v>43424.41405092593</v>
      </c>
      <c r="B2212" s="7" t="str">
        <f>HYPERLINK("https://twitter.com/pasaloydivulga","@pasaloydivulga")</f>
        <v>@pasaloydivulga</v>
      </c>
      <c r="C2212" s="8" t="s">
        <v>8118</v>
      </c>
      <c r="D2212" s="9" t="s">
        <v>8119</v>
      </c>
      <c r="E2212" s="10" t="str">
        <f>HYPERLINK("https://twitter.com/pasaloydivulga/status/1064940495389028352","1064940495389028352")</f>
        <v>1064940495389028352</v>
      </c>
      <c r="F2212" s="14" t="s">
        <v>1788</v>
      </c>
      <c r="G2212" s="11"/>
      <c r="H2212" s="11"/>
      <c r="I2212" s="12">
        <v>0</v>
      </c>
      <c r="J2212" s="12">
        <v>0</v>
      </c>
      <c r="K2212" s="13" t="str">
        <f>HYPERLINK("http://twitter.com","Twitter Web Client")</f>
        <v>Twitter Web Client</v>
      </c>
      <c r="L2212" s="12">
        <v>21625</v>
      </c>
      <c r="M2212" s="12">
        <v>2638</v>
      </c>
      <c r="N2212" s="12">
        <v>198</v>
      </c>
      <c r="O2212" s="15"/>
      <c r="P2212" s="6">
        <v>41151.391805555555</v>
      </c>
      <c r="Q2212" s="16" t="s">
        <v>38</v>
      </c>
      <c r="R2212" s="17" t="s">
        <v>8120</v>
      </c>
      <c r="S2212" s="11"/>
      <c r="T2212" s="11"/>
      <c r="U2212" s="10" t="str">
        <f>HYPERLINK("https://pbs.twimg.com/profile_images/2559634503/gi6ttwqp2zcemgpx3p6s.gif","View")</f>
        <v>View</v>
      </c>
    </row>
    <row r="2213" spans="1:21" ht="51">
      <c r="A2213" s="6">
        <v>43424.413240740745</v>
      </c>
      <c r="B2213" s="7" t="str">
        <f>HYPERLINK("https://twitter.com/SombriXX","@SombriXX")</f>
        <v>@SombriXX</v>
      </c>
      <c r="C2213" s="8" t="s">
        <v>5075</v>
      </c>
      <c r="D2213" s="9" t="s">
        <v>5076</v>
      </c>
      <c r="E2213" s="10" t="str">
        <f>HYPERLINK("https://twitter.com/SombriXX/status/1064940202890878977","1064940202890878977")</f>
        <v>1064940202890878977</v>
      </c>
      <c r="F2213" s="11"/>
      <c r="G2213" s="14" t="s">
        <v>5077</v>
      </c>
      <c r="H2213" s="11"/>
      <c r="I2213" s="12">
        <v>23</v>
      </c>
      <c r="J2213" s="12">
        <v>17</v>
      </c>
      <c r="K2213" s="13" t="str">
        <f>HYPERLINK("http://twitter.com/download/android","Twitter for Android")</f>
        <v>Twitter for Android</v>
      </c>
      <c r="L2213" s="12">
        <v>627</v>
      </c>
      <c r="M2213" s="12">
        <v>439</v>
      </c>
      <c r="N2213" s="12">
        <v>2</v>
      </c>
      <c r="O2213" s="15"/>
      <c r="P2213" s="6">
        <v>43075.227766203709</v>
      </c>
      <c r="Q2213" s="16" t="s">
        <v>407</v>
      </c>
      <c r="R2213" s="17" t="s">
        <v>5080</v>
      </c>
      <c r="S2213" s="11"/>
      <c r="T2213" s="11"/>
      <c r="U2213" s="10" t="str">
        <f>HYPERLINK("https://pbs.twimg.com/profile_images/1063165571469066247/V4YDFJHi.jpg","View")</f>
        <v>View</v>
      </c>
    </row>
    <row r="2214" spans="1:21" ht="30.6">
      <c r="A2214" s="6">
        <v>43424.409722222219</v>
      </c>
      <c r="B2214" s="7" t="str">
        <f>HYPERLINK("https://twitter.com/t_weim","@t_weim")</f>
        <v>@t_weim</v>
      </c>
      <c r="C2214" s="8" t="s">
        <v>8121</v>
      </c>
      <c r="D2214" s="9" t="s">
        <v>8122</v>
      </c>
      <c r="E2214" s="10" t="str">
        <f>HYPERLINK("https://twitter.com/t_weim/status/1064938925943414785","1064938925943414785")</f>
        <v>1064938925943414785</v>
      </c>
      <c r="F2214" s="11"/>
      <c r="G2214" s="14" t="s">
        <v>8123</v>
      </c>
      <c r="H2214" s="11"/>
      <c r="I2214" s="12">
        <v>0</v>
      </c>
      <c r="J2214" s="12">
        <v>0</v>
      </c>
      <c r="K2214" s="13" t="str">
        <f>HYPERLINK("https://mobile.twitter.com","Twitter Lite")</f>
        <v>Twitter Lite</v>
      </c>
      <c r="L2214" s="12">
        <v>502</v>
      </c>
      <c r="M2214" s="12">
        <v>649</v>
      </c>
      <c r="N2214" s="12">
        <v>6</v>
      </c>
      <c r="O2214" s="15"/>
      <c r="P2214" s="6">
        <v>41627.274722222224</v>
      </c>
      <c r="Q2214" s="11"/>
      <c r="R2214" s="17" t="s">
        <v>8124</v>
      </c>
      <c r="S2214" s="11"/>
      <c r="T2214" s="11"/>
      <c r="U2214" s="10" t="str">
        <f>HYPERLINK("https://pbs.twimg.com/profile_images/1062316801386860544/-X489fY7.jpg","View")</f>
        <v>View</v>
      </c>
    </row>
    <row r="2215" spans="1:21" ht="30.6">
      <c r="A2215" s="6">
        <v>43424.40934027778</v>
      </c>
      <c r="B2215" s="7" t="str">
        <f>HYPERLINK("https://twitter.com/skyduster_645","@skyduster_645")</f>
        <v>@skyduster_645</v>
      </c>
      <c r="C2215" s="8" t="s">
        <v>8125</v>
      </c>
      <c r="D2215" s="9" t="s">
        <v>8126</v>
      </c>
      <c r="E2215" s="10" t="str">
        <f>HYPERLINK("https://twitter.com/skyduster_645/status/1064938787229306881","1064938787229306881")</f>
        <v>1064938787229306881</v>
      </c>
      <c r="F2215" s="11"/>
      <c r="G2215" s="11"/>
      <c r="H2215" s="11"/>
      <c r="I2215" s="12">
        <v>0</v>
      </c>
      <c r="J2215" s="12">
        <v>0</v>
      </c>
      <c r="K2215" s="13" t="str">
        <f t="shared" ref="K2215:K2216" si="460">HYPERLINK("http://twitter.com/download/android","Twitter for Android")</f>
        <v>Twitter for Android</v>
      </c>
      <c r="L2215" s="12">
        <v>11</v>
      </c>
      <c r="M2215" s="12">
        <v>30</v>
      </c>
      <c r="N2215" s="12">
        <v>0</v>
      </c>
      <c r="O2215" s="15"/>
      <c r="P2215" s="6">
        <v>42726.56821759259</v>
      </c>
      <c r="Q2215" s="16" t="s">
        <v>8127</v>
      </c>
      <c r="R2215" s="17" t="s">
        <v>8128</v>
      </c>
      <c r="S2215" s="11"/>
      <c r="T2215" s="11"/>
      <c r="U2215" s="10" t="str">
        <f>HYPERLINK("https://pbs.twimg.com/profile_images/1037431071841955841/zp7bR3KN.jpg","View")</f>
        <v>View</v>
      </c>
    </row>
    <row r="2216" spans="1:21" ht="40.799999999999997">
      <c r="A2216" s="6">
        <v>43424.409039351856</v>
      </c>
      <c r="B2216" s="7" t="str">
        <f>HYPERLINK("https://twitter.com/manuelpl8","@manuelpl8")</f>
        <v>@manuelpl8</v>
      </c>
      <c r="C2216" s="8" t="s">
        <v>5081</v>
      </c>
      <c r="D2216" s="9" t="s">
        <v>5082</v>
      </c>
      <c r="E2216" s="10" t="str">
        <f>HYPERLINK("https://twitter.com/manuelpl8/status/1064938681730048002","1064938681730048002")</f>
        <v>1064938681730048002</v>
      </c>
      <c r="F2216" s="14" t="s">
        <v>2122</v>
      </c>
      <c r="G2216" s="11"/>
      <c r="H2216" s="11"/>
      <c r="I2216" s="12">
        <v>0</v>
      </c>
      <c r="J2216" s="12">
        <v>0</v>
      </c>
      <c r="K2216" s="13" t="str">
        <f t="shared" si="460"/>
        <v>Twitter for Android</v>
      </c>
      <c r="L2216" s="12">
        <v>10</v>
      </c>
      <c r="M2216" s="12">
        <v>40</v>
      </c>
      <c r="N2216" s="12">
        <v>0</v>
      </c>
      <c r="O2216" s="15"/>
      <c r="P2216" s="6">
        <v>43204.15902777778</v>
      </c>
      <c r="Q2216" s="11"/>
      <c r="R2216" s="19"/>
      <c r="S2216" s="11"/>
      <c r="T2216" s="11"/>
      <c r="U2216" s="18" t="s">
        <v>168</v>
      </c>
    </row>
    <row r="2217" spans="1:21" ht="20.399999999999999">
      <c r="A2217" s="6">
        <v>43424.407465277778</v>
      </c>
      <c r="B2217" s="7" t="str">
        <f>HYPERLINK("https://twitter.com/UGTCyL","@UGTCyL")</f>
        <v>@UGTCyL</v>
      </c>
      <c r="C2217" s="8" t="s">
        <v>8129</v>
      </c>
      <c r="D2217" s="9" t="s">
        <v>7537</v>
      </c>
      <c r="E2217" s="10" t="str">
        <f>HYPERLINK("https://twitter.com/UGTCyL/status/1064938111304704000","1064938111304704000")</f>
        <v>1064938111304704000</v>
      </c>
      <c r="F2217" s="14" t="s">
        <v>7538</v>
      </c>
      <c r="G2217" s="11"/>
      <c r="H2217" s="11"/>
      <c r="I2217" s="12">
        <v>3</v>
      </c>
      <c r="J2217" s="12">
        <v>0</v>
      </c>
      <c r="K2217" s="13" t="str">
        <f>HYPERLINK("http://www.facebook.com/twitter","Facebook")</f>
        <v>Facebook</v>
      </c>
      <c r="L2217" s="12">
        <v>3046</v>
      </c>
      <c r="M2217" s="12">
        <v>1009</v>
      </c>
      <c r="N2217" s="12">
        <v>81</v>
      </c>
      <c r="O2217" s="15"/>
      <c r="P2217" s="6">
        <v>40351.118842592594</v>
      </c>
      <c r="Q2217" s="16" t="s">
        <v>28</v>
      </c>
      <c r="R2217" s="17" t="s">
        <v>8130</v>
      </c>
      <c r="S2217" s="14" t="s">
        <v>8131</v>
      </c>
      <c r="T2217" s="11"/>
      <c r="U2217" s="10" t="str">
        <f>HYPERLINK("https://pbs.twimg.com/profile_images/951794823023022084/jJpGUwQi.jpg","View")</f>
        <v>View</v>
      </c>
    </row>
    <row r="2218" spans="1:21" ht="30.6">
      <c r="A2218" s="6">
        <v>43424.40625</v>
      </c>
      <c r="B2218" s="7" t="str">
        <f>HYPERLINK("https://twitter.com/redaccionmedica","@redaccionmedica")</f>
        <v>@redaccionmedica</v>
      </c>
      <c r="C2218" s="8" t="s">
        <v>5084</v>
      </c>
      <c r="D2218" s="9" t="s">
        <v>5085</v>
      </c>
      <c r="E2218" s="10" t="str">
        <f>HYPERLINK("https://twitter.com/redaccionmedica/status/1064937670671921152","1064937670671921152")</f>
        <v>1064937670671921152</v>
      </c>
      <c r="F2218" s="14" t="s">
        <v>5087</v>
      </c>
      <c r="G2218" s="11"/>
      <c r="H2218" s="11"/>
      <c r="I2218" s="12">
        <v>2</v>
      </c>
      <c r="J2218" s="12">
        <v>0</v>
      </c>
      <c r="K2218" s="13" t="str">
        <f>HYPERLINK("https://about.twitter.com/products/tweetdeck","TweetDeck")</f>
        <v>TweetDeck</v>
      </c>
      <c r="L2218" s="12">
        <v>63568</v>
      </c>
      <c r="M2218" s="12">
        <v>7650</v>
      </c>
      <c r="N2218" s="12">
        <v>1629</v>
      </c>
      <c r="O2218" s="15"/>
      <c r="P2218" s="6">
        <v>40532.984513888892</v>
      </c>
      <c r="Q2218" s="16" t="s">
        <v>28</v>
      </c>
      <c r="R2218" s="17" t="s">
        <v>5089</v>
      </c>
      <c r="S2218" s="14" t="s">
        <v>5090</v>
      </c>
      <c r="T2218" s="11"/>
      <c r="U2218" s="10" t="str">
        <f>HYPERLINK("https://pbs.twimg.com/profile_images/841963983477346304/T2ZeoHai.jpg","View")</f>
        <v>View</v>
      </c>
    </row>
    <row r="2219" spans="1:21" ht="40.799999999999997">
      <c r="A2219" s="6">
        <v>43424.403831018513</v>
      </c>
      <c r="B2219" s="7" t="str">
        <f>HYPERLINK("https://twitter.com/AngelesRendn1","@AngelesRendn1")</f>
        <v>@AngelesRendn1</v>
      </c>
      <c r="C2219" s="8" t="s">
        <v>8132</v>
      </c>
      <c r="D2219" s="9" t="s">
        <v>8133</v>
      </c>
      <c r="E2219" s="10" t="str">
        <f>HYPERLINK("https://twitter.com/AngelesRendn1/status/1064936793538289669","1064936793538289669")</f>
        <v>1064936793538289669</v>
      </c>
      <c r="F2219" s="14" t="s">
        <v>2122</v>
      </c>
      <c r="G2219" s="11"/>
      <c r="H2219" s="11"/>
      <c r="I2219" s="12">
        <v>1</v>
      </c>
      <c r="J2219" s="12">
        <v>3</v>
      </c>
      <c r="K2219" s="13" t="str">
        <f t="shared" ref="K2219:K2220" si="461">HYPERLINK("http://twitter.com/download/android","Twitter for Android")</f>
        <v>Twitter for Android</v>
      </c>
      <c r="L2219" s="12">
        <v>8735</v>
      </c>
      <c r="M2219" s="12">
        <v>6464</v>
      </c>
      <c r="N2219" s="12">
        <v>70</v>
      </c>
      <c r="O2219" s="15"/>
      <c r="P2219" s="6">
        <v>42330.645300925928</v>
      </c>
      <c r="Q2219" s="11"/>
      <c r="R2219" s="17" t="s">
        <v>8134</v>
      </c>
      <c r="S2219" s="11"/>
      <c r="T2219" s="11"/>
      <c r="U2219" s="10" t="str">
        <f>HYPERLINK("https://pbs.twimg.com/profile_images/1055244114889977856/yQvW3oet.jpg","View")</f>
        <v>View</v>
      </c>
    </row>
    <row r="2220" spans="1:21" ht="30.6">
      <c r="A2220" s="6">
        <v>43424.403831018513</v>
      </c>
      <c r="B2220" s="7" t="str">
        <f>HYPERLINK("https://twitter.com/Carmen82835466","@Carmen82835466")</f>
        <v>@Carmen82835466</v>
      </c>
      <c r="C2220" s="8" t="s">
        <v>8135</v>
      </c>
      <c r="D2220" s="9" t="s">
        <v>8136</v>
      </c>
      <c r="E2220" s="10" t="str">
        <f>HYPERLINK("https://twitter.com/Carmen82835466/status/1064936791839596544","1064936791839596544")</f>
        <v>1064936791839596544</v>
      </c>
      <c r="F2220" s="14" t="s">
        <v>5108</v>
      </c>
      <c r="G2220" s="11"/>
      <c r="H2220" s="11"/>
      <c r="I2220" s="12">
        <v>0</v>
      </c>
      <c r="J2220" s="12">
        <v>0</v>
      </c>
      <c r="K2220" s="13" t="str">
        <f t="shared" si="461"/>
        <v>Twitter for Android</v>
      </c>
      <c r="L2220" s="12">
        <v>95</v>
      </c>
      <c r="M2220" s="12">
        <v>175</v>
      </c>
      <c r="N2220" s="12">
        <v>0</v>
      </c>
      <c r="O2220" s="15"/>
      <c r="P2220" s="6">
        <v>43252.979884259257</v>
      </c>
      <c r="Q2220" s="16" t="s">
        <v>28</v>
      </c>
      <c r="R2220" s="19"/>
      <c r="S2220" s="11"/>
      <c r="T2220" s="11"/>
      <c r="U2220" s="10" t="str">
        <f>HYPERLINK("https://pbs.twimg.com/profile_images/1030793410444185602/UCa8xEyK.png","View")</f>
        <v>View</v>
      </c>
    </row>
    <row r="2221" spans="1:21" ht="30.6">
      <c r="A2221" s="6">
        <v>43424.403229166666</v>
      </c>
      <c r="B2221" s="7" t="str">
        <f>HYPERLINK("https://twitter.com/PBMarbeMalaga","@PBMarbeMalaga")</f>
        <v>@PBMarbeMalaga</v>
      </c>
      <c r="C2221" s="8" t="s">
        <v>3898</v>
      </c>
      <c r="D2221" s="9" t="s">
        <v>8137</v>
      </c>
      <c r="E2221" s="10" t="str">
        <f>HYPERLINK("https://twitter.com/PBMarbeMalaga/status/1064936574465581056","1064936574465581056")</f>
        <v>1064936574465581056</v>
      </c>
      <c r="F2221" s="14" t="s">
        <v>8138</v>
      </c>
      <c r="G2221" s="11"/>
      <c r="H2221" s="11"/>
      <c r="I2221" s="12">
        <v>0</v>
      </c>
      <c r="J2221" s="12">
        <v>0</v>
      </c>
      <c r="K2221" s="13" t="str">
        <f>HYPERLINK("https://javitang.ddns.net","PBMarbeMalaga")</f>
        <v>PBMarbeMalaga</v>
      </c>
      <c r="L2221" s="12">
        <v>1222</v>
      </c>
      <c r="M2221" s="12">
        <v>1245</v>
      </c>
      <c r="N2221" s="12">
        <v>2</v>
      </c>
      <c r="O2221" s="15"/>
      <c r="P2221" s="6">
        <v>43149.439074074078</v>
      </c>
      <c r="Q2221" s="16" t="s">
        <v>3899</v>
      </c>
      <c r="R2221" s="17" t="s">
        <v>3900</v>
      </c>
      <c r="S2221" s="11"/>
      <c r="T2221" s="11"/>
      <c r="U2221" s="10" t="str">
        <f>HYPERLINK("https://pbs.twimg.com/profile_images/965296691145531392/sAFnfUu2.jpg","View")</f>
        <v>View</v>
      </c>
    </row>
    <row r="2222" spans="1:21" ht="20.399999999999999">
      <c r="A2222" s="6">
        <v>43424.402395833335</v>
      </c>
      <c r="B2222" s="7" t="str">
        <f>HYPERLINK("https://twitter.com/hopedsy","@hopedsy")</f>
        <v>@hopedsy</v>
      </c>
      <c r="C2222" s="8" t="s">
        <v>3416</v>
      </c>
      <c r="D2222" s="9" t="s">
        <v>8024</v>
      </c>
      <c r="E2222" s="10" t="str">
        <f>HYPERLINK("https://twitter.com/hopedsy/status/1064936271997530112","1064936271997530112")</f>
        <v>1064936271997530112</v>
      </c>
      <c r="F2222" s="14" t="s">
        <v>8025</v>
      </c>
      <c r="G2222" s="11"/>
      <c r="H2222" s="11"/>
      <c r="I2222" s="12">
        <v>1</v>
      </c>
      <c r="J2222" s="12">
        <v>1</v>
      </c>
      <c r="K2222" s="13" t="str">
        <f>HYPERLINK("http://twitter.com/download/android","Twitter for Android")</f>
        <v>Twitter for Android</v>
      </c>
      <c r="L2222" s="12">
        <v>405</v>
      </c>
      <c r="M2222" s="12">
        <v>566</v>
      </c>
      <c r="N2222" s="12">
        <v>15</v>
      </c>
      <c r="O2222" s="15"/>
      <c r="P2222" s="6">
        <v>42568.12672453704</v>
      </c>
      <c r="Q2222" s="11"/>
      <c r="R2222" s="17" t="s">
        <v>3419</v>
      </c>
      <c r="S2222" s="11"/>
      <c r="T2222" s="11"/>
      <c r="U2222" s="10" t="str">
        <f>HYPERLINK("https://pbs.twimg.com/profile_images/814237291229147136/bJPBbvoq.jpg","View")</f>
        <v>View</v>
      </c>
    </row>
    <row r="2223" spans="1:21" ht="51">
      <c r="A2223" s="6">
        <v>43424.402025462958</v>
      </c>
      <c r="B2223" s="7" t="str">
        <f>HYPERLINK("https://twitter.com/bugallego","@bugallego")</f>
        <v>@bugallego</v>
      </c>
      <c r="C2223" s="8" t="s">
        <v>7995</v>
      </c>
      <c r="D2223" s="9" t="s">
        <v>8139</v>
      </c>
      <c r="E2223" s="10" t="str">
        <f>HYPERLINK("https://twitter.com/bugallego/status/1064936137872019456","1064936137872019456")</f>
        <v>1064936137872019456</v>
      </c>
      <c r="F2223" s="11"/>
      <c r="G2223" s="11"/>
      <c r="H2223" s="11"/>
      <c r="I2223" s="12">
        <v>0</v>
      </c>
      <c r="J2223" s="12">
        <v>0</v>
      </c>
      <c r="K2223" s="13" t="str">
        <f t="shared" ref="K2223:K2224" si="462">HYPERLINK("http://twitter.com/download/iphone","Twitter for iPhone")</f>
        <v>Twitter for iPhone</v>
      </c>
      <c r="L2223" s="12">
        <v>896</v>
      </c>
      <c r="M2223" s="12">
        <v>2076</v>
      </c>
      <c r="N2223" s="12">
        <v>48</v>
      </c>
      <c r="O2223" s="15"/>
      <c r="P2223" s="6">
        <v>41268.213877314818</v>
      </c>
      <c r="Q2223" s="16" t="s">
        <v>7997</v>
      </c>
      <c r="R2223" s="19"/>
      <c r="S2223" s="11"/>
      <c r="T2223" s="11"/>
      <c r="U2223" s="10" t="str">
        <f>HYPERLINK("https://pbs.twimg.com/profile_images/649499656670564352/wMuIX5o7.jpg","View")</f>
        <v>View</v>
      </c>
    </row>
    <row r="2224" spans="1:21" ht="30.6">
      <c r="A2224" s="6">
        <v>43424.401921296296</v>
      </c>
      <c r="B2224" s="7" t="str">
        <f>HYPERLINK("https://twitter.com/2grober","@2grober")</f>
        <v>@2grober</v>
      </c>
      <c r="C2224" s="8" t="s">
        <v>5093</v>
      </c>
      <c r="D2224" s="9" t="s">
        <v>5094</v>
      </c>
      <c r="E2224" s="10" t="str">
        <f>HYPERLINK("https://twitter.com/2grober/status/1064936100945424384","1064936100945424384")</f>
        <v>1064936100945424384</v>
      </c>
      <c r="F2224" s="11"/>
      <c r="G2224" s="14" t="s">
        <v>5095</v>
      </c>
      <c r="H2224" s="11"/>
      <c r="I2224" s="12">
        <v>0</v>
      </c>
      <c r="J2224" s="12">
        <v>1</v>
      </c>
      <c r="K2224" s="13" t="str">
        <f t="shared" si="462"/>
        <v>Twitter for iPhone</v>
      </c>
      <c r="L2224" s="12">
        <v>148</v>
      </c>
      <c r="M2224" s="12">
        <v>226</v>
      </c>
      <c r="N2224" s="12">
        <v>0</v>
      </c>
      <c r="O2224" s="15"/>
      <c r="P2224" s="6">
        <v>41350.666041666671</v>
      </c>
      <c r="Q2224" s="11"/>
      <c r="R2224" s="19"/>
      <c r="S2224" s="11"/>
      <c r="T2224" s="11"/>
      <c r="U2224" s="10" t="str">
        <f>HYPERLINK("https://pbs.twimg.com/profile_images/3394025870/e36b9c8cbe2c6ba529c3af1af2424de2.jpeg","View")</f>
        <v>View</v>
      </c>
    </row>
    <row r="2225" spans="1:21" ht="20.399999999999999">
      <c r="A2225" s="6">
        <v>43424.400960648149</v>
      </c>
      <c r="B2225" s="7" t="str">
        <f>HYPERLINK("https://twitter.com/JoseManuel_Ros","@JoseManuel_Ros")</f>
        <v>@JoseManuel_Ros</v>
      </c>
      <c r="C2225" s="8" t="s">
        <v>8140</v>
      </c>
      <c r="D2225" s="9" t="s">
        <v>6693</v>
      </c>
      <c r="E2225" s="10" t="str">
        <f>HYPERLINK("https://twitter.com/JoseManuel_Ros/status/1064935751702450176","1064935751702450176")</f>
        <v>1064935751702450176</v>
      </c>
      <c r="F2225" s="14" t="s">
        <v>6694</v>
      </c>
      <c r="G2225" s="11"/>
      <c r="H2225" s="11"/>
      <c r="I2225" s="12">
        <v>0</v>
      </c>
      <c r="J2225" s="12">
        <v>0</v>
      </c>
      <c r="K2225" s="13" t="str">
        <f>HYPERLINK("http://twitter.com","Twitter Web Client")</f>
        <v>Twitter Web Client</v>
      </c>
      <c r="L2225" s="12">
        <v>406</v>
      </c>
      <c r="M2225" s="12">
        <v>398</v>
      </c>
      <c r="N2225" s="12">
        <v>3</v>
      </c>
      <c r="O2225" s="15"/>
      <c r="P2225" s="6">
        <v>40973.216296296298</v>
      </c>
      <c r="Q2225" s="16" t="s">
        <v>406</v>
      </c>
      <c r="R2225" s="19"/>
      <c r="S2225" s="11"/>
      <c r="T2225" s="11"/>
      <c r="U2225" s="10" t="str">
        <f>HYPERLINK("https://pbs.twimg.com/profile_images/1054468346891120641/A32urm_h.jpg","View")</f>
        <v>View</v>
      </c>
    </row>
    <row r="2226" spans="1:21" ht="51">
      <c r="A2226" s="6">
        <v>43424.398923611108</v>
      </c>
      <c r="B2226" s="7" t="str">
        <f>HYPERLINK("https://twitter.com/PSOEpalbas","@PSOEpalbas")</f>
        <v>@PSOEpalbas</v>
      </c>
      <c r="C2226" s="8" t="s">
        <v>8141</v>
      </c>
      <c r="D2226" s="9" t="s">
        <v>8142</v>
      </c>
      <c r="E2226" s="10" t="str">
        <f>HYPERLINK("https://twitter.com/PSOEpalbas/status/1064935013848879104","1064935013848879104")</f>
        <v>1064935013848879104</v>
      </c>
      <c r="F2226" s="11"/>
      <c r="G2226" s="11"/>
      <c r="H2226" s="11"/>
      <c r="I2226" s="12">
        <v>2</v>
      </c>
      <c r="J2226" s="12">
        <v>3</v>
      </c>
      <c r="K2226" s="13" t="str">
        <f>HYPERLINK("http://twitter.com/download/android","Twitter for Android")</f>
        <v>Twitter for Android</v>
      </c>
      <c r="L2226" s="12">
        <v>37</v>
      </c>
      <c r="M2226" s="12">
        <v>44</v>
      </c>
      <c r="N2226" s="12">
        <v>0</v>
      </c>
      <c r="O2226" s="15"/>
      <c r="P2226" s="6">
        <v>42599.635624999995</v>
      </c>
      <c r="Q2226" s="16" t="s">
        <v>8143</v>
      </c>
      <c r="R2226" s="17" t="s">
        <v>8144</v>
      </c>
      <c r="S2226" s="11"/>
      <c r="T2226" s="11"/>
      <c r="U2226" s="10" t="str">
        <f>HYPERLINK("https://pbs.twimg.com/profile_images/766037245577072640/0vnkOUC_.jpg","View")</f>
        <v>View</v>
      </c>
    </row>
    <row r="2227" spans="1:21" ht="51">
      <c r="A2227" s="6">
        <v>43424.3987962963</v>
      </c>
      <c r="B2227" s="7" t="str">
        <f>HYPERLINK("https://twitter.com/bugallego","@bugallego")</f>
        <v>@bugallego</v>
      </c>
      <c r="C2227" s="8" t="s">
        <v>7995</v>
      </c>
      <c r="D2227" s="9" t="s">
        <v>8145</v>
      </c>
      <c r="E2227" s="10" t="str">
        <f>HYPERLINK("https://twitter.com/bugallego/status/1064934965895471105","1064934965895471105")</f>
        <v>1064934965895471105</v>
      </c>
      <c r="F2227" s="11"/>
      <c r="G2227" s="11"/>
      <c r="H2227" s="11"/>
      <c r="I2227" s="12">
        <v>0</v>
      </c>
      <c r="J2227" s="12">
        <v>0</v>
      </c>
      <c r="K2227" s="13" t="str">
        <f>HYPERLINK("http://twitter.com/download/iphone","Twitter for iPhone")</f>
        <v>Twitter for iPhone</v>
      </c>
      <c r="L2227" s="12">
        <v>896</v>
      </c>
      <c r="M2227" s="12">
        <v>2076</v>
      </c>
      <c r="N2227" s="12">
        <v>48</v>
      </c>
      <c r="O2227" s="15"/>
      <c r="P2227" s="6">
        <v>41268.213877314818</v>
      </c>
      <c r="Q2227" s="16" t="s">
        <v>7997</v>
      </c>
      <c r="R2227" s="19"/>
      <c r="S2227" s="11"/>
      <c r="T2227" s="11"/>
      <c r="U2227" s="10" t="str">
        <f>HYPERLINK("https://pbs.twimg.com/profile_images/649499656670564352/wMuIX5o7.jpg","View")</f>
        <v>View</v>
      </c>
    </row>
    <row r="2228" spans="1:21" ht="20.399999999999999">
      <c r="A2228" s="6">
        <v>43424.398298611108</v>
      </c>
      <c r="B2228" s="7" t="str">
        <f>HYPERLINK("https://twitter.com/FlixAranaRoza","@FlixAranaRoza")</f>
        <v>@FlixAranaRoza</v>
      </c>
      <c r="C2228" s="8" t="s">
        <v>8146</v>
      </c>
      <c r="D2228" s="9" t="s">
        <v>7121</v>
      </c>
      <c r="E2228" s="10" t="str">
        <f>HYPERLINK("https://twitter.com/FlixAranaRoza/status/1064934787272646656","1064934787272646656")</f>
        <v>1064934787272646656</v>
      </c>
      <c r="F2228" s="14" t="s">
        <v>5336</v>
      </c>
      <c r="G2228" s="11"/>
      <c r="H2228" s="11"/>
      <c r="I2228" s="12">
        <v>2</v>
      </c>
      <c r="J2228" s="12">
        <v>2</v>
      </c>
      <c r="K2228" s="13" t="str">
        <f t="shared" ref="K2228:K2229" si="463">HYPERLINK("http://twitter.com","Twitter Web Client")</f>
        <v>Twitter Web Client</v>
      </c>
      <c r="L2228" s="12">
        <v>73</v>
      </c>
      <c r="M2228" s="12">
        <v>238</v>
      </c>
      <c r="N2228" s="12">
        <v>1</v>
      </c>
      <c r="O2228" s="15"/>
      <c r="P2228" s="6">
        <v>41317.860567129632</v>
      </c>
      <c r="Q2228" s="16" t="s">
        <v>8147</v>
      </c>
      <c r="R2228" s="17" t="s">
        <v>8148</v>
      </c>
      <c r="S2228" s="14" t="s">
        <v>8149</v>
      </c>
      <c r="T2228" s="11"/>
      <c r="U2228" s="10" t="str">
        <f>HYPERLINK("https://pbs.twimg.com/profile_images/470129376877502464/XY-hTS60.jpeg","View")</f>
        <v>View</v>
      </c>
    </row>
    <row r="2229" spans="1:21" ht="20.399999999999999">
      <c r="A2229" s="6">
        <v>43424.396631944444</v>
      </c>
      <c r="B2229" s="7" t="str">
        <f>HYPERLINK("https://twitter.com/ManuelBudio","@ManuelBudio")</f>
        <v>@ManuelBudio</v>
      </c>
      <c r="C2229" s="8" t="s">
        <v>3506</v>
      </c>
      <c r="D2229" s="9" t="s">
        <v>7831</v>
      </c>
      <c r="E2229" s="10" t="str">
        <f>HYPERLINK("https://twitter.com/ManuelBudio/status/1064934181535399938","1064934181535399938")</f>
        <v>1064934181535399938</v>
      </c>
      <c r="F2229" s="14" t="s">
        <v>8150</v>
      </c>
      <c r="G2229" s="11"/>
      <c r="H2229" s="11"/>
      <c r="I2229" s="12">
        <v>0</v>
      </c>
      <c r="J2229" s="12">
        <v>0</v>
      </c>
      <c r="K2229" s="13" t="str">
        <f t="shared" si="463"/>
        <v>Twitter Web Client</v>
      </c>
      <c r="L2229" s="12">
        <v>3322</v>
      </c>
      <c r="M2229" s="12">
        <v>3375</v>
      </c>
      <c r="N2229" s="12">
        <v>52</v>
      </c>
      <c r="O2229" s="15"/>
      <c r="P2229" s="6">
        <v>41758.264456018514</v>
      </c>
      <c r="Q2229" s="11"/>
      <c r="R2229" s="19"/>
      <c r="S2229" s="11"/>
      <c r="T2229" s="11"/>
      <c r="U2229" s="10" t="str">
        <f>HYPERLINK("https://pbs.twimg.com/profile_images/461133824366104576/laIkQZCn.jpeg","View")</f>
        <v>View</v>
      </c>
    </row>
    <row r="2230" spans="1:21" ht="30.6">
      <c r="A2230" s="6">
        <v>43424.395949074074</v>
      </c>
      <c r="B2230" s="7" t="str">
        <f>HYPERLINK("https://twitter.com/CieloLeiros","@CieloLeiros")</f>
        <v>@CieloLeiros</v>
      </c>
      <c r="C2230" s="8" t="s">
        <v>8151</v>
      </c>
      <c r="D2230" s="9" t="s">
        <v>8152</v>
      </c>
      <c r="E2230" s="10" t="str">
        <f>HYPERLINK("https://twitter.com/CieloLeiros/status/1064933937624035328","1064933937624035328")</f>
        <v>1064933937624035328</v>
      </c>
      <c r="F2230" s="11"/>
      <c r="G2230" s="14" t="s">
        <v>8153</v>
      </c>
      <c r="H2230" s="11"/>
      <c r="I2230" s="12">
        <v>2</v>
      </c>
      <c r="J2230" s="12">
        <v>1</v>
      </c>
      <c r="K2230" s="13" t="str">
        <f>HYPERLINK("https://www.hootsuite.com","Hootsuite Inc.")</f>
        <v>Hootsuite Inc.</v>
      </c>
      <c r="L2230" s="12">
        <v>1113</v>
      </c>
      <c r="M2230" s="12">
        <v>1306</v>
      </c>
      <c r="N2230" s="12">
        <v>0</v>
      </c>
      <c r="O2230" s="15"/>
      <c r="P2230" s="6">
        <v>42927.446770833332</v>
      </c>
      <c r="Q2230" s="11"/>
      <c r="R2230" s="17" t="s">
        <v>8154</v>
      </c>
      <c r="S2230" s="11"/>
      <c r="T2230" s="11"/>
      <c r="U2230" s="10" t="str">
        <f>HYPERLINK("https://pbs.twimg.com/profile_images/1016744055097708544/-aatIlTC.jpg","View")</f>
        <v>View</v>
      </c>
    </row>
    <row r="2231" spans="1:21" ht="20.399999999999999">
      <c r="A2231" s="6">
        <v>43424.394988425927</v>
      </c>
      <c r="B2231" s="7" t="str">
        <f t="shared" ref="B2231:B2232" si="464">HYPERLINK("https://twitter.com/Thugocean","@Thugocean")</f>
        <v>@Thugocean</v>
      </c>
      <c r="C2231" s="8" t="s">
        <v>8155</v>
      </c>
      <c r="D2231" s="9" t="s">
        <v>7807</v>
      </c>
      <c r="E2231" s="10" t="str">
        <f>HYPERLINK("https://twitter.com/Thugocean/status/1064933588754411520","1064933588754411520")</f>
        <v>1064933588754411520</v>
      </c>
      <c r="F2231" s="14" t="s">
        <v>7808</v>
      </c>
      <c r="G2231" s="11"/>
      <c r="H2231" s="11"/>
      <c r="I2231" s="12">
        <v>0</v>
      </c>
      <c r="J2231" s="12">
        <v>0</v>
      </c>
      <c r="K2231" s="13" t="str">
        <f>HYPERLINK("http://twitter.com","Twitter Web Client")</f>
        <v>Twitter Web Client</v>
      </c>
      <c r="L2231" s="12">
        <v>284</v>
      </c>
      <c r="M2231" s="12">
        <v>1703</v>
      </c>
      <c r="N2231" s="12">
        <v>7</v>
      </c>
      <c r="O2231" s="15"/>
      <c r="P2231" s="6">
        <v>40867.648599537039</v>
      </c>
      <c r="Q2231" s="16" t="s">
        <v>8156</v>
      </c>
      <c r="R2231" s="17" t="s">
        <v>8157</v>
      </c>
      <c r="S2231" s="14" t="s">
        <v>8158</v>
      </c>
      <c r="T2231" s="11"/>
      <c r="U2231" s="10" t="str">
        <f t="shared" ref="U2231:U2232" si="465">HYPERLINK("https://pbs.twimg.com/profile_images/946063289942986752/wAmQSTiZ.jpg","View")</f>
        <v>View</v>
      </c>
    </row>
    <row r="2232" spans="1:21" ht="20.399999999999999">
      <c r="A2232" s="6">
        <v>43424.394942129627</v>
      </c>
      <c r="B2232" s="7" t="str">
        <f t="shared" si="464"/>
        <v>@Thugocean</v>
      </c>
      <c r="C2232" s="8" t="s">
        <v>8155</v>
      </c>
      <c r="D2232" s="9" t="s">
        <v>8159</v>
      </c>
      <c r="E2232" s="10" t="str">
        <f>HYPERLINK("https://twitter.com/Thugocean/status/1064933572597956608","1064933572597956608")</f>
        <v>1064933572597956608</v>
      </c>
      <c r="F2232" s="14" t="s">
        <v>8160</v>
      </c>
      <c r="G2232" s="11"/>
      <c r="H2232" s="11"/>
      <c r="I2232" s="12">
        <v>0</v>
      </c>
      <c r="J2232" s="12">
        <v>0</v>
      </c>
      <c r="K2232" s="13" t="str">
        <f>HYPERLINK("https://www.google.com/","Google")</f>
        <v>Google</v>
      </c>
      <c r="L2232" s="12">
        <v>284</v>
      </c>
      <c r="M2232" s="12">
        <v>1703</v>
      </c>
      <c r="N2232" s="12">
        <v>7</v>
      </c>
      <c r="O2232" s="15"/>
      <c r="P2232" s="6">
        <v>40867.648599537039</v>
      </c>
      <c r="Q2232" s="16" t="s">
        <v>8156</v>
      </c>
      <c r="R2232" s="17" t="s">
        <v>8157</v>
      </c>
      <c r="S2232" s="14" t="s">
        <v>8158</v>
      </c>
      <c r="T2232" s="11"/>
      <c r="U2232" s="10" t="str">
        <f t="shared" si="465"/>
        <v>View</v>
      </c>
    </row>
    <row r="2233" spans="1:21" ht="20.399999999999999">
      <c r="A2233" s="6">
        <v>43424.394768518519</v>
      </c>
      <c r="B2233" s="7" t="str">
        <f>HYPERLINK("https://twitter.com/Belda1954","@Belda1954")</f>
        <v>@Belda1954</v>
      </c>
      <c r="C2233" s="8" t="s">
        <v>7575</v>
      </c>
      <c r="D2233" s="9" t="s">
        <v>7831</v>
      </c>
      <c r="E2233" s="10" t="str">
        <f>HYPERLINK("https://twitter.com/Belda1954/status/1064933508202799105","1064933508202799105")</f>
        <v>1064933508202799105</v>
      </c>
      <c r="F2233" s="14" t="s">
        <v>7832</v>
      </c>
      <c r="G2233" s="11"/>
      <c r="H2233" s="11"/>
      <c r="I2233" s="12">
        <v>0</v>
      </c>
      <c r="J2233" s="12">
        <v>0</v>
      </c>
      <c r="K2233" s="13" t="str">
        <f>HYPERLINK("http://twitter.com","Twitter Web Client")</f>
        <v>Twitter Web Client</v>
      </c>
      <c r="L2233" s="12">
        <v>333</v>
      </c>
      <c r="M2233" s="12">
        <v>1031</v>
      </c>
      <c r="N2233" s="12">
        <v>7</v>
      </c>
      <c r="O2233" s="15"/>
      <c r="P2233" s="6">
        <v>40445.405740740738</v>
      </c>
      <c r="Q2233" s="16" t="s">
        <v>28</v>
      </c>
      <c r="R2233" s="17" t="s">
        <v>7576</v>
      </c>
      <c r="S2233" s="11"/>
      <c r="T2233" s="11"/>
      <c r="U2233" s="10" t="str">
        <f>HYPERLINK("https://pbs.twimg.com/profile_images/760042410126737408/0vT_CbAN.jpg","View")</f>
        <v>View</v>
      </c>
    </row>
    <row r="2234" spans="1:21" ht="20.399999999999999">
      <c r="A2234" s="6">
        <v>43424.393680555557</v>
      </c>
      <c r="B2234" s="7" t="str">
        <f>HYPERLINK("https://twitter.com/MagdaOlivaDiaz","@MagdaOlivaDiaz")</f>
        <v>@MagdaOlivaDiaz</v>
      </c>
      <c r="C2234" s="8" t="s">
        <v>8161</v>
      </c>
      <c r="D2234" s="9" t="s">
        <v>8162</v>
      </c>
      <c r="E2234" s="10" t="str">
        <f>HYPERLINK("https://twitter.com/MagdaOlivaDiaz/status/1064933114739417088","1064933114739417088")</f>
        <v>1064933114739417088</v>
      </c>
      <c r="F2234" s="14" t="s">
        <v>8163</v>
      </c>
      <c r="G2234" s="11"/>
      <c r="H2234" s="11"/>
      <c r="I2234" s="12">
        <v>0</v>
      </c>
      <c r="J2234" s="12">
        <v>0</v>
      </c>
      <c r="K2234" s="13" t="str">
        <f>HYPERLINK("http://twitter.com/download/android","Twitter for Android")</f>
        <v>Twitter for Android</v>
      </c>
      <c r="L2234" s="12">
        <v>353</v>
      </c>
      <c r="M2234" s="12">
        <v>468</v>
      </c>
      <c r="N2234" s="12">
        <v>28</v>
      </c>
      <c r="O2234" s="15"/>
      <c r="P2234" s="6">
        <v>41747.347002314811</v>
      </c>
      <c r="Q2234" s="11"/>
      <c r="R2234" s="19"/>
      <c r="S2234" s="11"/>
      <c r="T2234" s="11"/>
      <c r="U2234" s="10" t="str">
        <f>HYPERLINK("https://pbs.twimg.com/profile_images/523549265268707328/9zYQnnYm.jpeg","View")</f>
        <v>View</v>
      </c>
    </row>
    <row r="2235" spans="1:21" ht="13.2">
      <c r="A2235" s="6">
        <v>43424.393240740741</v>
      </c>
      <c r="B2235" s="7" t="str">
        <f>HYPERLINK("https://twitter.com/QuesadaPodemos","@QuesadaPodemos")</f>
        <v>@QuesadaPodemos</v>
      </c>
      <c r="C2235" s="8" t="s">
        <v>8164</v>
      </c>
      <c r="D2235" s="9" t="s">
        <v>8165</v>
      </c>
      <c r="E2235" s="10" t="str">
        <f>HYPERLINK("https://twitter.com/QuesadaPodemos/status/1064932952960892930","1064932952960892930")</f>
        <v>1064932952960892930</v>
      </c>
      <c r="F2235" s="14" t="s">
        <v>51</v>
      </c>
      <c r="G2235" s="11"/>
      <c r="H2235" s="11"/>
      <c r="I2235" s="12">
        <v>0</v>
      </c>
      <c r="J2235" s="12">
        <v>0</v>
      </c>
      <c r="K2235" s="13" t="str">
        <f>HYPERLINK("http://www.facebook.com/twitter","Facebook")</f>
        <v>Facebook</v>
      </c>
      <c r="L2235" s="12">
        <v>405</v>
      </c>
      <c r="M2235" s="12">
        <v>262</v>
      </c>
      <c r="N2235" s="12">
        <v>13</v>
      </c>
      <c r="O2235" s="15"/>
      <c r="P2235" s="6">
        <v>41787.634699074071</v>
      </c>
      <c r="Q2235" s="16" t="s">
        <v>8166</v>
      </c>
      <c r="R2235" s="19"/>
      <c r="S2235" s="11"/>
      <c r="T2235" s="11"/>
      <c r="U2235" s="10" t="str">
        <f>HYPERLINK("https://pbs.twimg.com/profile_images/630653670036762624/N4__aROY.png","View")</f>
        <v>View</v>
      </c>
    </row>
    <row r="2236" spans="1:21" ht="40.799999999999997">
      <c r="A2236" s="6">
        <v>43424.392453703702</v>
      </c>
      <c r="B2236" s="7" t="str">
        <f>HYPERLINK("https://twitter.com/colpolsocclm","@colpolsocclm")</f>
        <v>@colpolsocclm</v>
      </c>
      <c r="C2236" s="8" t="s">
        <v>8167</v>
      </c>
      <c r="D2236" s="9" t="s">
        <v>8168</v>
      </c>
      <c r="E2236" s="10" t="str">
        <f>HYPERLINK("https://twitter.com/colpolsocclm/status/1064932670763909120","1064932670763909120")</f>
        <v>1064932670763909120</v>
      </c>
      <c r="F2236" s="14" t="s">
        <v>2122</v>
      </c>
      <c r="G2236" s="11"/>
      <c r="H2236" s="11"/>
      <c r="I2236" s="12">
        <v>0</v>
      </c>
      <c r="J2236" s="12">
        <v>0</v>
      </c>
      <c r="K2236" s="13" t="str">
        <f>HYPERLINK("https://www.hootsuite.com","Hootsuite Inc.")</f>
        <v>Hootsuite Inc.</v>
      </c>
      <c r="L2236" s="12">
        <v>2052</v>
      </c>
      <c r="M2236" s="12">
        <v>2312</v>
      </c>
      <c r="N2236" s="12">
        <v>54</v>
      </c>
      <c r="O2236" s="15"/>
      <c r="P2236" s="6">
        <v>40976.209421296298</v>
      </c>
      <c r="Q2236" s="16" t="s">
        <v>8169</v>
      </c>
      <c r="R2236" s="17" t="s">
        <v>8170</v>
      </c>
      <c r="S2236" s="14" t="s">
        <v>8171</v>
      </c>
      <c r="T2236" s="11"/>
      <c r="U2236" s="10" t="str">
        <f>HYPERLINK("https://pbs.twimg.com/profile_images/694601678176260096/qBRfkXuS.jpg","View")</f>
        <v>View</v>
      </c>
    </row>
    <row r="2237" spans="1:21" ht="71.400000000000006">
      <c r="A2237" s="6">
        <v>43424.392048611116</v>
      </c>
      <c r="B2237" s="7" t="str">
        <f>HYPERLINK("https://twitter.com/CastrVicente","@CastrVicente")</f>
        <v>@CastrVicente</v>
      </c>
      <c r="C2237" s="8" t="s">
        <v>5096</v>
      </c>
      <c r="D2237" s="9" t="s">
        <v>5097</v>
      </c>
      <c r="E2237" s="10" t="str">
        <f>HYPERLINK("https://twitter.com/CastrVicente/status/1064932524349169664","1064932524349169664")</f>
        <v>1064932524349169664</v>
      </c>
      <c r="F2237" s="14" t="s">
        <v>3197</v>
      </c>
      <c r="G2237" s="14" t="s">
        <v>3198</v>
      </c>
      <c r="H2237" s="11"/>
      <c r="I2237" s="12">
        <v>0</v>
      </c>
      <c r="J2237" s="12">
        <v>0</v>
      </c>
      <c r="K2237" s="13" t="str">
        <f>HYPERLINK("http://twitter.com","Twitter Web Client")</f>
        <v>Twitter Web Client</v>
      </c>
      <c r="L2237" s="12">
        <v>1554</v>
      </c>
      <c r="M2237" s="12">
        <v>1381</v>
      </c>
      <c r="N2237" s="12">
        <v>83</v>
      </c>
      <c r="O2237" s="15"/>
      <c r="P2237" s="6">
        <v>40682.415925925925</v>
      </c>
      <c r="Q2237" s="16" t="s">
        <v>5098</v>
      </c>
      <c r="R2237" s="17" t="s">
        <v>5099</v>
      </c>
      <c r="S2237" s="14" t="s">
        <v>5100</v>
      </c>
      <c r="T2237" s="11"/>
      <c r="U2237" s="10" t="str">
        <f>HYPERLINK("https://pbs.twimg.com/profile_images/935107063239364608/NPDVe0Fy.jpg","View")</f>
        <v>View</v>
      </c>
    </row>
    <row r="2238" spans="1:21" ht="51">
      <c r="A2238" s="6">
        <v>43424.389791666668</v>
      </c>
      <c r="B2238" s="7" t="str">
        <f>HYPERLINK("https://twitter.com/Wirapuro","@Wirapuro")</f>
        <v>@Wirapuro</v>
      </c>
      <c r="C2238" s="8" t="s">
        <v>5104</v>
      </c>
      <c r="D2238" s="9" t="s">
        <v>5105</v>
      </c>
      <c r="E2238" s="10" t="str">
        <f>HYPERLINK("https://twitter.com/Wirapuro/status/1064931702533955584","1064931702533955584")</f>
        <v>1064931702533955584</v>
      </c>
      <c r="F2238" s="14" t="s">
        <v>5108</v>
      </c>
      <c r="G2238" s="11"/>
      <c r="H2238" s="11"/>
      <c r="I2238" s="12">
        <v>0</v>
      </c>
      <c r="J2238" s="12">
        <v>0</v>
      </c>
      <c r="K2238" s="13" t="str">
        <f t="shared" ref="K2238:K2241" si="466">HYPERLINK("http://twitter.com/download/android","Twitter for Android")</f>
        <v>Twitter for Android</v>
      </c>
      <c r="L2238" s="12">
        <v>74</v>
      </c>
      <c r="M2238" s="12">
        <v>278</v>
      </c>
      <c r="N2238" s="12">
        <v>0</v>
      </c>
      <c r="O2238" s="15"/>
      <c r="P2238" s="6">
        <v>42999.512187500004</v>
      </c>
      <c r="Q2238" s="11"/>
      <c r="R2238" s="17" t="s">
        <v>5111</v>
      </c>
      <c r="S2238" s="11"/>
      <c r="T2238" s="11"/>
      <c r="U2238" s="10" t="str">
        <f>HYPERLINK("https://pbs.twimg.com/profile_images/910955587923533826/I6tfqnW9.jpg","View")</f>
        <v>View</v>
      </c>
    </row>
    <row r="2239" spans="1:21" ht="61.2">
      <c r="A2239" s="6">
        <v>43424.388090277775</v>
      </c>
      <c r="B2239" s="7" t="str">
        <f>HYPERLINK("https://twitter.com/santi544","@santi544")</f>
        <v>@santi544</v>
      </c>
      <c r="C2239" s="8" t="s">
        <v>5114</v>
      </c>
      <c r="D2239" s="9" t="s">
        <v>5115</v>
      </c>
      <c r="E2239" s="10" t="str">
        <f>HYPERLINK("https://twitter.com/santi544/status/1064931089356075008","1064931089356075008")</f>
        <v>1064931089356075008</v>
      </c>
      <c r="F2239" s="11"/>
      <c r="G2239" s="14" t="s">
        <v>5116</v>
      </c>
      <c r="H2239" s="11"/>
      <c r="I2239" s="12">
        <v>26</v>
      </c>
      <c r="J2239" s="12">
        <v>8</v>
      </c>
      <c r="K2239" s="13" t="str">
        <f t="shared" si="466"/>
        <v>Twitter for Android</v>
      </c>
      <c r="L2239" s="12">
        <v>219</v>
      </c>
      <c r="M2239" s="12">
        <v>231</v>
      </c>
      <c r="N2239" s="12">
        <v>0</v>
      </c>
      <c r="O2239" s="15"/>
      <c r="P2239" s="6">
        <v>40799.696655092594</v>
      </c>
      <c r="Q2239" s="11"/>
      <c r="R2239" s="17" t="s">
        <v>5119</v>
      </c>
      <c r="S2239" s="11"/>
      <c r="T2239" s="11"/>
      <c r="U2239" s="10" t="str">
        <f>HYPERLINK("https://pbs.twimg.com/profile_images/1061143141695283200/zcBGkMoQ.jpg","View")</f>
        <v>View</v>
      </c>
    </row>
    <row r="2240" spans="1:21" ht="30.6">
      <c r="A2240" s="6">
        <v>43424.387210648143</v>
      </c>
      <c r="B2240" s="7" t="str">
        <f>HYPERLINK("https://twitter.com/pacoluisj","@pacoluisj")</f>
        <v>@pacoluisj</v>
      </c>
      <c r="C2240" s="8" t="s">
        <v>3787</v>
      </c>
      <c r="D2240" s="9" t="s">
        <v>8172</v>
      </c>
      <c r="E2240" s="10" t="str">
        <f>HYPERLINK("https://twitter.com/pacoluisj/status/1064930769905299456","1064930769905299456")</f>
        <v>1064930769905299456</v>
      </c>
      <c r="F2240" s="14" t="s">
        <v>5108</v>
      </c>
      <c r="G2240" s="11"/>
      <c r="H2240" s="11"/>
      <c r="I2240" s="12">
        <v>1</v>
      </c>
      <c r="J2240" s="12">
        <v>2</v>
      </c>
      <c r="K2240" s="13" t="str">
        <f t="shared" si="466"/>
        <v>Twitter for Android</v>
      </c>
      <c r="L2240" s="12">
        <v>5127</v>
      </c>
      <c r="M2240" s="12">
        <v>5147</v>
      </c>
      <c r="N2240" s="12">
        <v>33</v>
      </c>
      <c r="O2240" s="15"/>
      <c r="P2240" s="6">
        <v>40259.459560185183</v>
      </c>
      <c r="Q2240" s="16" t="s">
        <v>28</v>
      </c>
      <c r="R2240" s="17" t="s">
        <v>3792</v>
      </c>
      <c r="S2240" s="11"/>
      <c r="T2240" s="11"/>
      <c r="U2240" s="10" t="str">
        <f>HYPERLINK("https://pbs.twimg.com/profile_images/978195787904634880/xKXdKqVW.jpg","View")</f>
        <v>View</v>
      </c>
    </row>
    <row r="2241" spans="1:21" ht="30.6">
      <c r="A2241" s="6">
        <v>43424.386666666665</v>
      </c>
      <c r="B2241" s="7" t="str">
        <f>HYPERLINK("https://twitter.com/canaldirtenefe","@canaldirtenefe")</f>
        <v>@canaldirtenefe</v>
      </c>
      <c r="C2241" s="8" t="s">
        <v>8173</v>
      </c>
      <c r="D2241" s="9" t="s">
        <v>8174</v>
      </c>
      <c r="E2241" s="10" t="str">
        <f>HYPERLINK("https://twitter.com/canaldirtenefe/status/1064930570499735553","1064930570499735553")</f>
        <v>1064930570499735553</v>
      </c>
      <c r="F2241" s="14" t="s">
        <v>8175</v>
      </c>
      <c r="G2241" s="11"/>
      <c r="H2241" s="11"/>
      <c r="I2241" s="12">
        <v>0</v>
      </c>
      <c r="J2241" s="12">
        <v>0</v>
      </c>
      <c r="K2241" s="13" t="str">
        <f t="shared" si="466"/>
        <v>Twitter for Android</v>
      </c>
      <c r="L2241" s="12">
        <v>58</v>
      </c>
      <c r="M2241" s="12">
        <v>66</v>
      </c>
      <c r="N2241" s="12">
        <v>9</v>
      </c>
      <c r="O2241" s="15"/>
      <c r="P2241" s="6">
        <v>41531.509826388887</v>
      </c>
      <c r="Q2241" s="11"/>
      <c r="R2241" s="19"/>
      <c r="S2241" s="11"/>
      <c r="T2241" s="11"/>
      <c r="U2241" s="10" t="str">
        <f>HYPERLINK("https://pbs.twimg.com/profile_images/471754116515897344/tf0mJ_Ib.jpeg","View")</f>
        <v>View</v>
      </c>
    </row>
    <row r="2242" spans="1:21" ht="30.6">
      <c r="A2242" s="6">
        <v>43424.385694444441</v>
      </c>
      <c r="B2242" s="7" t="str">
        <f t="shared" ref="B2242:B2243" si="467">HYPERLINK("https://twitter.com/juanravivanco","@juanravivanco")</f>
        <v>@juanravivanco</v>
      </c>
      <c r="C2242" s="8" t="s">
        <v>97</v>
      </c>
      <c r="D2242" s="9" t="s">
        <v>8176</v>
      </c>
      <c r="E2242" s="10" t="str">
        <f>HYPERLINK("https://twitter.com/juanravivanco/status/1064930217909776384","1064930217909776384")</f>
        <v>1064930217909776384</v>
      </c>
      <c r="F2242" s="11"/>
      <c r="G2242" s="14" t="s">
        <v>8177</v>
      </c>
      <c r="H2242" s="11"/>
      <c r="I2242" s="12">
        <v>0</v>
      </c>
      <c r="J2242" s="12">
        <v>1</v>
      </c>
      <c r="K2242" s="13" t="str">
        <f t="shared" ref="K2242:K2243" si="468">HYPERLINK("https://www.hootsuite.com","Hootsuite Inc.")</f>
        <v>Hootsuite Inc.</v>
      </c>
      <c r="L2242" s="12">
        <v>832</v>
      </c>
      <c r="M2242" s="12">
        <v>1349</v>
      </c>
      <c r="N2242" s="12">
        <v>9</v>
      </c>
      <c r="O2242" s="15"/>
      <c r="P2242" s="6">
        <v>40458.029062499998</v>
      </c>
      <c r="Q2242" s="16" t="s">
        <v>28</v>
      </c>
      <c r="R2242" s="17" t="s">
        <v>102</v>
      </c>
      <c r="S2242" s="11"/>
      <c r="T2242" s="11"/>
      <c r="U2242" s="10" t="str">
        <f t="shared" ref="U2242:U2243" si="469">HYPERLINK("https://pbs.twimg.com/profile_images/987016377008566272/nTEgViPn.jpg","View")</f>
        <v>View</v>
      </c>
    </row>
    <row r="2243" spans="1:21" ht="30.6">
      <c r="A2243" s="6">
        <v>43424.385682870372</v>
      </c>
      <c r="B2243" s="7" t="str">
        <f t="shared" si="467"/>
        <v>@juanravivanco</v>
      </c>
      <c r="C2243" s="8" t="s">
        <v>97</v>
      </c>
      <c r="D2243" s="9" t="s">
        <v>8178</v>
      </c>
      <c r="E2243" s="10" t="str">
        <f>HYPERLINK("https://twitter.com/juanravivanco/status/1064930217158983680","1064930217158983680")</f>
        <v>1064930217158983680</v>
      </c>
      <c r="F2243" s="11"/>
      <c r="G2243" s="14" t="s">
        <v>8179</v>
      </c>
      <c r="H2243" s="11"/>
      <c r="I2243" s="12">
        <v>1</v>
      </c>
      <c r="J2243" s="12">
        <v>2</v>
      </c>
      <c r="K2243" s="13" t="str">
        <f t="shared" si="468"/>
        <v>Hootsuite Inc.</v>
      </c>
      <c r="L2243" s="12">
        <v>832</v>
      </c>
      <c r="M2243" s="12">
        <v>1349</v>
      </c>
      <c r="N2243" s="12">
        <v>9</v>
      </c>
      <c r="O2243" s="15"/>
      <c r="P2243" s="6">
        <v>40458.029062499998</v>
      </c>
      <c r="Q2243" s="16" t="s">
        <v>28</v>
      </c>
      <c r="R2243" s="17" t="s">
        <v>102</v>
      </c>
      <c r="S2243" s="11"/>
      <c r="T2243" s="11"/>
      <c r="U2243" s="10" t="str">
        <f t="shared" si="469"/>
        <v>View</v>
      </c>
    </row>
    <row r="2244" spans="1:21" ht="102">
      <c r="A2244" s="6">
        <v>43424.385300925926</v>
      </c>
      <c r="B2244" s="7" t="str">
        <f>HYPERLINK("https://twitter.com/Antonio_Reolid","@Antonio_Reolid")</f>
        <v>@Antonio_Reolid</v>
      </c>
      <c r="C2244" s="8" t="s">
        <v>5122</v>
      </c>
      <c r="D2244" s="9" t="s">
        <v>5123</v>
      </c>
      <c r="E2244" s="10" t="str">
        <f>HYPERLINK("https://twitter.com/Antonio_Reolid/status/1064930079178932226","1064930079178932226")</f>
        <v>1064930079178932226</v>
      </c>
      <c r="F2244" s="16" t="s">
        <v>5125</v>
      </c>
      <c r="G2244" s="14" t="s">
        <v>3198</v>
      </c>
      <c r="H2244" s="11"/>
      <c r="I2244" s="12">
        <v>1</v>
      </c>
      <c r="J2244" s="12">
        <v>1</v>
      </c>
      <c r="K2244" s="13" t="str">
        <f t="shared" ref="K2244:K2245" si="470">HYPERLINK("http://twitter.com","Twitter Web Client")</f>
        <v>Twitter Web Client</v>
      </c>
      <c r="L2244" s="12">
        <v>744</v>
      </c>
      <c r="M2244" s="12">
        <v>3239</v>
      </c>
      <c r="N2244" s="12">
        <v>1</v>
      </c>
      <c r="O2244" s="15"/>
      <c r="P2244" s="6">
        <v>43326.333773148144</v>
      </c>
      <c r="Q2244" s="16" t="s">
        <v>5128</v>
      </c>
      <c r="R2244" s="17" t="s">
        <v>5129</v>
      </c>
      <c r="S2244" s="11"/>
      <c r="T2244" s="11"/>
      <c r="U2244" s="10" t="str">
        <f>HYPERLINK("https://pbs.twimg.com/profile_images/1029382993788502016/0uQc2anI.jpg","View")</f>
        <v>View</v>
      </c>
    </row>
    <row r="2245" spans="1:21" ht="30.6">
      <c r="A2245" s="6">
        <v>43424.385219907403</v>
      </c>
      <c r="B2245" s="7" t="str">
        <f>HYPERLINK("https://twitter.com/CastrVicente","@CastrVicente")</f>
        <v>@CastrVicente</v>
      </c>
      <c r="C2245" s="8" t="s">
        <v>5096</v>
      </c>
      <c r="D2245" s="9" t="s">
        <v>5134</v>
      </c>
      <c r="E2245" s="10" t="str">
        <f>HYPERLINK("https://twitter.com/CastrVicente/status/1064930046677327872","1064930046677327872")</f>
        <v>1064930046677327872</v>
      </c>
      <c r="F2245" s="14" t="s">
        <v>5135</v>
      </c>
      <c r="G2245" s="11"/>
      <c r="H2245" s="11"/>
      <c r="I2245" s="12">
        <v>0</v>
      </c>
      <c r="J2245" s="12">
        <v>0</v>
      </c>
      <c r="K2245" s="13" t="str">
        <f t="shared" si="470"/>
        <v>Twitter Web Client</v>
      </c>
      <c r="L2245" s="12">
        <v>1554</v>
      </c>
      <c r="M2245" s="12">
        <v>1381</v>
      </c>
      <c r="N2245" s="12">
        <v>83</v>
      </c>
      <c r="O2245" s="15"/>
      <c r="P2245" s="6">
        <v>40682.415925925925</v>
      </c>
      <c r="Q2245" s="16" t="s">
        <v>5098</v>
      </c>
      <c r="R2245" s="17" t="s">
        <v>5099</v>
      </c>
      <c r="S2245" s="14" t="s">
        <v>5100</v>
      </c>
      <c r="T2245" s="11"/>
      <c r="U2245" s="10" t="str">
        <f>HYPERLINK("https://pbs.twimg.com/profile_images/935107063239364608/NPDVe0Fy.jpg","View")</f>
        <v>View</v>
      </c>
    </row>
    <row r="2246" spans="1:21" ht="40.799999999999997">
      <c r="A2246" s="6">
        <v>43424.383877314816</v>
      </c>
      <c r="B2246" s="7" t="str">
        <f>HYPERLINK("https://twitter.com/rocio08544551","@rocio08544551")</f>
        <v>@rocio08544551</v>
      </c>
      <c r="C2246" s="8" t="s">
        <v>8180</v>
      </c>
      <c r="D2246" s="9" t="s">
        <v>8181</v>
      </c>
      <c r="E2246" s="10" t="str">
        <f>HYPERLINK("https://twitter.com/rocio08544551/status/1064929559798259719","1064929559798259719")</f>
        <v>1064929559798259719</v>
      </c>
      <c r="F2246" s="11"/>
      <c r="G2246" s="14" t="s">
        <v>8182</v>
      </c>
      <c r="H2246" s="11"/>
      <c r="I2246" s="12">
        <v>4</v>
      </c>
      <c r="J2246" s="12">
        <v>4</v>
      </c>
      <c r="K2246" s="13" t="str">
        <f>HYPERLINK("http://twitter.com/download/iphone","Twitter for iPhone")</f>
        <v>Twitter for iPhone</v>
      </c>
      <c r="L2246" s="12">
        <v>88</v>
      </c>
      <c r="M2246" s="12">
        <v>93</v>
      </c>
      <c r="N2246" s="12">
        <v>0</v>
      </c>
      <c r="O2246" s="15"/>
      <c r="P2246" s="6">
        <v>43130.499768518523</v>
      </c>
      <c r="Q2246" s="16" t="s">
        <v>8183</v>
      </c>
      <c r="R2246" s="19"/>
      <c r="S2246" s="11"/>
      <c r="T2246" s="11"/>
      <c r="U2246" s="10" t="str">
        <f>HYPERLINK("https://pbs.twimg.com/profile_images/958432747801993218/jvi-tBEZ.jpg","View")</f>
        <v>View</v>
      </c>
    </row>
    <row r="2247" spans="1:21" ht="51">
      <c r="A2247" s="6">
        <v>43424.383784722224</v>
      </c>
      <c r="B2247" s="7" t="str">
        <f>HYPERLINK("https://twitter.com/ancabocristiano","@ancabocristiano")</f>
        <v>@ancabocristiano</v>
      </c>
      <c r="C2247" s="8" t="s">
        <v>5653</v>
      </c>
      <c r="D2247" s="9" t="s">
        <v>8184</v>
      </c>
      <c r="E2247" s="10" t="str">
        <f>HYPERLINK("https://twitter.com/ancabocristiano/status/1064929527158185985","1064929527158185985")</f>
        <v>1064929527158185985</v>
      </c>
      <c r="F2247" s="14" t="s">
        <v>8185</v>
      </c>
      <c r="G2247" s="11"/>
      <c r="H2247" s="11"/>
      <c r="I2247" s="12">
        <v>0</v>
      </c>
      <c r="J2247" s="12">
        <v>0</v>
      </c>
      <c r="K2247" s="13" t="str">
        <f t="shared" ref="K2247:K2249" si="471">HYPERLINK("http://twitter.com","Twitter Web Client")</f>
        <v>Twitter Web Client</v>
      </c>
      <c r="L2247" s="12">
        <v>725</v>
      </c>
      <c r="M2247" s="12">
        <v>1174</v>
      </c>
      <c r="N2247" s="12">
        <v>17</v>
      </c>
      <c r="O2247" s="15"/>
      <c r="P2247" s="6">
        <v>40588.637638888889</v>
      </c>
      <c r="Q2247" s="16" t="s">
        <v>5656</v>
      </c>
      <c r="R2247" s="17" t="s">
        <v>5657</v>
      </c>
      <c r="S2247" s="11"/>
      <c r="T2247" s="11"/>
      <c r="U2247" s="10" t="str">
        <f>HYPERLINK("https://pbs.twimg.com/profile_images/1498277119/Antonio_Twiter.JPG","View")</f>
        <v>View</v>
      </c>
    </row>
    <row r="2248" spans="1:21" ht="51">
      <c r="A2248" s="6">
        <v>43424.383194444439</v>
      </c>
      <c r="B2248" s="7" t="str">
        <f>HYPERLINK("https://twitter.com/Portadoresuenos","@Portadoresuenos")</f>
        <v>@Portadoresuenos</v>
      </c>
      <c r="C2248" s="8" t="s">
        <v>5136</v>
      </c>
      <c r="D2248" s="9" t="s">
        <v>5137</v>
      </c>
      <c r="E2248" s="10" t="str">
        <f>HYPERLINK("https://twitter.com/Portadoresuenos/status/1064929312149856258","1064929312149856258")</f>
        <v>1064929312149856258</v>
      </c>
      <c r="F2248" s="11"/>
      <c r="G2248" s="14" t="s">
        <v>5140</v>
      </c>
      <c r="H2248" s="11"/>
      <c r="I2248" s="12">
        <v>0</v>
      </c>
      <c r="J2248" s="12">
        <v>3</v>
      </c>
      <c r="K2248" s="13" t="str">
        <f t="shared" si="471"/>
        <v>Twitter Web Client</v>
      </c>
      <c r="L2248" s="12">
        <v>6910</v>
      </c>
      <c r="M2248" s="12">
        <v>2593</v>
      </c>
      <c r="N2248" s="12">
        <v>195</v>
      </c>
      <c r="O2248" s="15"/>
      <c r="P2248" s="6">
        <v>40615.452523148146</v>
      </c>
      <c r="Q2248" s="16" t="s">
        <v>5143</v>
      </c>
      <c r="R2248" s="17" t="s">
        <v>5144</v>
      </c>
      <c r="S2248" s="14" t="s">
        <v>5145</v>
      </c>
      <c r="T2248" s="11"/>
      <c r="U2248" s="10" t="str">
        <f>HYPERLINK("https://pbs.twimg.com/profile_images/531411013019906048/TKKH4E2V.jpeg","View")</f>
        <v>View</v>
      </c>
    </row>
    <row r="2249" spans="1:21" ht="51">
      <c r="A2249" s="6">
        <v>43424.382245370369</v>
      </c>
      <c r="B2249" s="7" t="str">
        <f>HYPERLINK("https://twitter.com/josemigueljeans","@josemigueljeans")</f>
        <v>@josemigueljeans</v>
      </c>
      <c r="C2249" s="8" t="s">
        <v>8186</v>
      </c>
      <c r="D2249" s="9" t="s">
        <v>8187</v>
      </c>
      <c r="E2249" s="10" t="str">
        <f>HYPERLINK("https://twitter.com/josemigueljeans/status/1064928968233689088","1064928968233689088")</f>
        <v>1064928968233689088</v>
      </c>
      <c r="F2249" s="11"/>
      <c r="G2249" s="11"/>
      <c r="H2249" s="11"/>
      <c r="I2249" s="12">
        <v>0</v>
      </c>
      <c r="J2249" s="12">
        <v>1</v>
      </c>
      <c r="K2249" s="13" t="str">
        <f t="shared" si="471"/>
        <v>Twitter Web Client</v>
      </c>
      <c r="L2249" s="12">
        <v>95</v>
      </c>
      <c r="M2249" s="12">
        <v>658</v>
      </c>
      <c r="N2249" s="12">
        <v>1</v>
      </c>
      <c r="O2249" s="15"/>
      <c r="P2249" s="6">
        <v>40801.483842592592</v>
      </c>
      <c r="Q2249" s="16" t="s">
        <v>2129</v>
      </c>
      <c r="R2249" s="17" t="s">
        <v>8188</v>
      </c>
      <c r="S2249" s="11"/>
      <c r="T2249" s="11"/>
      <c r="U2249" s="10" t="str">
        <f>HYPERLINK("https://pbs.twimg.com/profile_images/378800000690101940/d78c47100cfc835fb87f26a5817fbed9.jpeg","View")</f>
        <v>View</v>
      </c>
    </row>
    <row r="2250" spans="1:21" ht="40.799999999999997">
      <c r="A2250" s="6">
        <v>43424.381585648152</v>
      </c>
      <c r="B2250" s="7" t="str">
        <f>HYPERLINK("https://twitter.com/Markuslevel","@Markuslevel")</f>
        <v>@Markuslevel</v>
      </c>
      <c r="C2250" s="8" t="s">
        <v>8189</v>
      </c>
      <c r="D2250" s="9" t="s">
        <v>8190</v>
      </c>
      <c r="E2250" s="10" t="str">
        <f>HYPERLINK("https://twitter.com/Markuslevel/status/1064928729674276865","1064928729674276865")</f>
        <v>1064928729674276865</v>
      </c>
      <c r="F2250" s="11"/>
      <c r="G2250" s="14" t="s">
        <v>4864</v>
      </c>
      <c r="H2250" s="11"/>
      <c r="I2250" s="12">
        <v>251</v>
      </c>
      <c r="J2250" s="12">
        <v>402</v>
      </c>
      <c r="K2250" s="13" t="str">
        <f t="shared" ref="K2250:K2252" si="472">HYPERLINK("http://twitter.com/download/android","Twitter for Android")</f>
        <v>Twitter for Android</v>
      </c>
      <c r="L2250" s="12">
        <v>2938</v>
      </c>
      <c r="M2250" s="12">
        <v>3322</v>
      </c>
      <c r="N2250" s="12">
        <v>10</v>
      </c>
      <c r="O2250" s="15"/>
      <c r="P2250" s="6">
        <v>42366.427222222221</v>
      </c>
      <c r="Q2250" s="16" t="s">
        <v>2839</v>
      </c>
      <c r="R2250" s="17" t="s">
        <v>8191</v>
      </c>
      <c r="S2250" s="11"/>
      <c r="T2250" s="11"/>
      <c r="U2250" s="10" t="str">
        <f>HYPERLINK("https://pbs.twimg.com/profile_images/1057390390263853056/oud5CaeU.jpg","View")</f>
        <v>View</v>
      </c>
    </row>
    <row r="2251" spans="1:21" ht="71.400000000000006">
      <c r="A2251" s="6">
        <v>43424.381539351853</v>
      </c>
      <c r="B2251" s="7" t="str">
        <f>HYPERLINK("https://twitter.com/juanki1234","@juanki1234")</f>
        <v>@juanki1234</v>
      </c>
      <c r="C2251" s="8" t="s">
        <v>5146</v>
      </c>
      <c r="D2251" s="9" t="s">
        <v>5147</v>
      </c>
      <c r="E2251" s="10" t="str">
        <f>HYPERLINK("https://twitter.com/juanki1234/status/1064928712708300803","1064928712708300803")</f>
        <v>1064928712708300803</v>
      </c>
      <c r="F2251" s="16" t="s">
        <v>5148</v>
      </c>
      <c r="G2251" s="11"/>
      <c r="H2251" s="11"/>
      <c r="I2251" s="12">
        <v>0</v>
      </c>
      <c r="J2251" s="12">
        <v>0</v>
      </c>
      <c r="K2251" s="13" t="str">
        <f t="shared" si="472"/>
        <v>Twitter for Android</v>
      </c>
      <c r="L2251" s="12">
        <v>469</v>
      </c>
      <c r="M2251" s="12">
        <v>552</v>
      </c>
      <c r="N2251" s="12">
        <v>46</v>
      </c>
      <c r="O2251" s="15"/>
      <c r="P2251" s="6">
        <v>40436.625925925924</v>
      </c>
      <c r="Q2251" s="16" t="s">
        <v>5149</v>
      </c>
      <c r="R2251" s="19"/>
      <c r="S2251" s="11"/>
      <c r="T2251" s="11"/>
      <c r="U2251" s="10" t="str">
        <f>HYPERLINK("https://pbs.twimg.com/profile_images/1156520592/image.jpg","View")</f>
        <v>View</v>
      </c>
    </row>
    <row r="2252" spans="1:21" ht="40.799999999999997">
      <c r="A2252" s="6">
        <v>43424.380833333329</v>
      </c>
      <c r="B2252" s="7" t="str">
        <f>HYPERLINK("https://twitter.com/Martinez_Alc","@Martinez_Alc")</f>
        <v>@Martinez_Alc</v>
      </c>
      <c r="C2252" s="8" t="s">
        <v>3101</v>
      </c>
      <c r="D2252" s="9" t="s">
        <v>5150</v>
      </c>
      <c r="E2252" s="10" t="str">
        <f>HYPERLINK("https://twitter.com/Martinez_Alc/status/1064928456708894721","1064928456708894721")</f>
        <v>1064928456708894721</v>
      </c>
      <c r="F2252" s="14" t="s">
        <v>5151</v>
      </c>
      <c r="G2252" s="11"/>
      <c r="H2252" s="11"/>
      <c r="I2252" s="12">
        <v>0</v>
      </c>
      <c r="J2252" s="12">
        <v>0</v>
      </c>
      <c r="K2252" s="13" t="str">
        <f t="shared" si="472"/>
        <v>Twitter for Android</v>
      </c>
      <c r="L2252" s="12">
        <v>1329</v>
      </c>
      <c r="M2252" s="12">
        <v>939</v>
      </c>
      <c r="N2252" s="12">
        <v>10</v>
      </c>
      <c r="O2252" s="15"/>
      <c r="P2252" s="6">
        <v>40880.191608796296</v>
      </c>
      <c r="Q2252" s="11"/>
      <c r="R2252" s="17" t="s">
        <v>5152</v>
      </c>
      <c r="S2252" s="11"/>
      <c r="T2252" s="11"/>
      <c r="U2252" s="10" t="str">
        <f>HYPERLINK("https://pbs.twimg.com/profile_images/1009184312565039105/Pddns5-N.jpg","View")</f>
        <v>View</v>
      </c>
    </row>
    <row r="2253" spans="1:21" ht="30.6">
      <c r="A2253" s="6">
        <v>43424.380694444444</v>
      </c>
      <c r="B2253" s="7" t="str">
        <f>HYPERLINK("https://twitter.com/DrStran51","@DrStran51")</f>
        <v>@DrStran51</v>
      </c>
      <c r="C2253" s="8" t="s">
        <v>8192</v>
      </c>
      <c r="D2253" s="9" t="s">
        <v>8193</v>
      </c>
      <c r="E2253" s="10" t="str">
        <f>HYPERLINK("https://twitter.com/DrStran51/status/1064928406159142912","1064928406159142912")</f>
        <v>1064928406159142912</v>
      </c>
      <c r="F2253" s="14" t="s">
        <v>8194</v>
      </c>
      <c r="G2253" s="11"/>
      <c r="H2253" s="11"/>
      <c r="I2253" s="12">
        <v>0</v>
      </c>
      <c r="J2253" s="12">
        <v>0</v>
      </c>
      <c r="K2253" s="13" t="str">
        <f>HYPERLINK("http://twitter.com","Twitter Web Client")</f>
        <v>Twitter Web Client</v>
      </c>
      <c r="L2253" s="12">
        <v>69</v>
      </c>
      <c r="M2253" s="12">
        <v>171</v>
      </c>
      <c r="N2253" s="12">
        <v>0</v>
      </c>
      <c r="O2253" s="15"/>
      <c r="P2253" s="6">
        <v>43356.405706018515</v>
      </c>
      <c r="Q2253" s="16" t="s">
        <v>3107</v>
      </c>
      <c r="R2253" s="17" t="s">
        <v>8195</v>
      </c>
      <c r="S2253" s="11"/>
      <c r="T2253" s="11"/>
      <c r="U2253" s="10" t="str">
        <f>HYPERLINK("https://pbs.twimg.com/profile_images/1040280678045241345/lhFYLbl7.jpg","View")</f>
        <v>View</v>
      </c>
    </row>
    <row r="2254" spans="1:21" ht="20.399999999999999">
      <c r="A2254" s="6">
        <v>43424.378831018519</v>
      </c>
      <c r="B2254" s="7" t="str">
        <f>HYPERLINK("https://twitter.com/____Gipsy____","@____Gipsy____")</f>
        <v>@____Gipsy____</v>
      </c>
      <c r="C2254" s="8" t="s">
        <v>2671</v>
      </c>
      <c r="D2254" s="9" t="s">
        <v>2672</v>
      </c>
      <c r="E2254" s="10" t="str">
        <f>HYPERLINK("https://twitter.com/____Gipsy____/status/1064927733237587970","1064927733237587970")</f>
        <v>1064927733237587970</v>
      </c>
      <c r="F2254" s="14" t="s">
        <v>2675</v>
      </c>
      <c r="G2254" s="11"/>
      <c r="H2254" s="11"/>
      <c r="I2254" s="12">
        <v>0</v>
      </c>
      <c r="J2254" s="12">
        <v>0</v>
      </c>
      <c r="K2254" s="13" t="str">
        <f>HYPERLINK("https://buffer.com","Buffer")</f>
        <v>Buffer</v>
      </c>
      <c r="L2254" s="12">
        <v>145</v>
      </c>
      <c r="M2254" s="12">
        <v>975</v>
      </c>
      <c r="N2254" s="12">
        <v>0</v>
      </c>
      <c r="O2254" s="15"/>
      <c r="P2254" s="6">
        <v>43341.253252314811</v>
      </c>
      <c r="Q2254" s="11"/>
      <c r="R2254" s="17" t="s">
        <v>2676</v>
      </c>
      <c r="S2254" s="11"/>
      <c r="T2254" s="11"/>
      <c r="U2254" s="10" t="str">
        <f>HYPERLINK("https://pbs.twimg.com/profile_images/1034789754791976960/dNNStVf-.jpg","View")</f>
        <v>View</v>
      </c>
    </row>
    <row r="2255" spans="1:21" ht="51">
      <c r="A2255" s="6">
        <v>43424.378194444449</v>
      </c>
      <c r="B2255" s="7" t="str">
        <f>HYPERLINK("https://twitter.com/17101981wedding","@17101981wedding")</f>
        <v>@17101981wedding</v>
      </c>
      <c r="C2255" s="8" t="s">
        <v>7714</v>
      </c>
      <c r="D2255" s="9" t="s">
        <v>8196</v>
      </c>
      <c r="E2255" s="10" t="str">
        <f>HYPERLINK("https://twitter.com/17101981wedding/status/1064927501305212928","1064927501305212928")</f>
        <v>1064927501305212928</v>
      </c>
      <c r="F2255" s="14" t="s">
        <v>2122</v>
      </c>
      <c r="G2255" s="11"/>
      <c r="H2255" s="11"/>
      <c r="I2255" s="12">
        <v>11</v>
      </c>
      <c r="J2255" s="12">
        <v>8</v>
      </c>
      <c r="K2255" s="13" t="str">
        <f>HYPERLINK("http://twitter.com/download/android","Twitter for Android")</f>
        <v>Twitter for Android</v>
      </c>
      <c r="L2255" s="12">
        <v>10227</v>
      </c>
      <c r="M2255" s="12">
        <v>9980</v>
      </c>
      <c r="N2255" s="12">
        <v>11</v>
      </c>
      <c r="O2255" s="15"/>
      <c r="P2255" s="6">
        <v>41443.858495370368</v>
      </c>
      <c r="Q2255" s="16" t="s">
        <v>28</v>
      </c>
      <c r="R2255" s="17" t="s">
        <v>7715</v>
      </c>
      <c r="S2255" s="11"/>
      <c r="T2255" s="11"/>
      <c r="U2255" s="10" t="str">
        <f>HYPERLINK("https://pbs.twimg.com/profile_images/971156588877811714/8x80uvOo.jpg","View")</f>
        <v>View</v>
      </c>
    </row>
    <row r="2256" spans="1:21" ht="30.6">
      <c r="A2256" s="6">
        <v>43424.378078703703</v>
      </c>
      <c r="B2256" s="7" t="str">
        <f>HYPERLINK("https://twitter.com/grancocolio","@grancocolio")</f>
        <v>@grancocolio</v>
      </c>
      <c r="C2256" s="8" t="s">
        <v>7898</v>
      </c>
      <c r="D2256" s="9" t="s">
        <v>8197</v>
      </c>
      <c r="E2256" s="10" t="str">
        <f>HYPERLINK("https://twitter.com/grancocolio/status/1064927460771414018","1064927460771414018")</f>
        <v>1064927460771414018</v>
      </c>
      <c r="F2256" s="11"/>
      <c r="G2256" s="14" t="s">
        <v>4258</v>
      </c>
      <c r="H2256" s="11"/>
      <c r="I2256" s="12">
        <v>66</v>
      </c>
      <c r="J2256" s="12">
        <v>76</v>
      </c>
      <c r="K2256" s="13" t="str">
        <f>HYPERLINK("http://twitter.com/#!/download/ipad","Twitter for iPad")</f>
        <v>Twitter for iPad</v>
      </c>
      <c r="L2256" s="12">
        <v>44110</v>
      </c>
      <c r="M2256" s="12">
        <v>36147</v>
      </c>
      <c r="N2256" s="12">
        <v>164</v>
      </c>
      <c r="O2256" s="15"/>
      <c r="P2256" s="6">
        <v>42255.218958333338</v>
      </c>
      <c r="Q2256" s="11"/>
      <c r="R2256" s="17" t="s">
        <v>7900</v>
      </c>
      <c r="S2256" s="11"/>
      <c r="T2256" s="11"/>
      <c r="U2256" s="10" t="str">
        <f>HYPERLINK("https://pbs.twimg.com/profile_images/1029713060292976640/qB1QulA-.jpg","View")</f>
        <v>View</v>
      </c>
    </row>
    <row r="2257" spans="1:21" ht="20.399999999999999">
      <c r="A2257" s="6">
        <v>43424.375787037032</v>
      </c>
      <c r="B2257" s="7" t="str">
        <f>HYPERLINK("https://twitter.com/XoseLieiro","@XoseLieiro")</f>
        <v>@XoseLieiro</v>
      </c>
      <c r="C2257" s="8" t="s">
        <v>8198</v>
      </c>
      <c r="D2257" s="9" t="s">
        <v>7848</v>
      </c>
      <c r="E2257" s="10" t="str">
        <f>HYPERLINK("https://twitter.com/XoseLieiro/status/1064926628281835520","1064926628281835520")</f>
        <v>1064926628281835520</v>
      </c>
      <c r="F2257" s="14" t="s">
        <v>2122</v>
      </c>
      <c r="G2257" s="11"/>
      <c r="H2257" s="11"/>
      <c r="I2257" s="12">
        <v>0</v>
      </c>
      <c r="J2257" s="12">
        <v>0</v>
      </c>
      <c r="K2257" s="13" t="str">
        <f>HYPERLINK("http://twitter.com","Twitter Web Client")</f>
        <v>Twitter Web Client</v>
      </c>
      <c r="L2257" s="12">
        <v>149</v>
      </c>
      <c r="M2257" s="12">
        <v>129</v>
      </c>
      <c r="N2257" s="12">
        <v>19</v>
      </c>
      <c r="O2257" s="15"/>
      <c r="P2257" s="6">
        <v>40671.522164351853</v>
      </c>
      <c r="Q2257" s="16" t="s">
        <v>8199</v>
      </c>
      <c r="R2257" s="19"/>
      <c r="S2257" s="14" t="s">
        <v>8200</v>
      </c>
      <c r="T2257" s="11"/>
      <c r="U2257" s="10" t="str">
        <f>HYPERLINK("https://pbs.twimg.com/profile_images/431343830655193089/ui9kxaC5.jpeg","View")</f>
        <v>View</v>
      </c>
    </row>
    <row r="2258" spans="1:21" ht="30.6">
      <c r="A2258" s="6">
        <v>43424.375717592593</v>
      </c>
      <c r="B2258" s="7" t="str">
        <f>HYPERLINK("https://twitter.com/pacoluisj","@pacoluisj")</f>
        <v>@pacoluisj</v>
      </c>
      <c r="C2258" s="8" t="s">
        <v>3787</v>
      </c>
      <c r="D2258" s="9" t="s">
        <v>7848</v>
      </c>
      <c r="E2258" s="10" t="str">
        <f>HYPERLINK("https://twitter.com/pacoluisj/status/1064926604869160961","1064926604869160961")</f>
        <v>1064926604869160961</v>
      </c>
      <c r="F2258" s="14" t="s">
        <v>2122</v>
      </c>
      <c r="G2258" s="11"/>
      <c r="H2258" s="11"/>
      <c r="I2258" s="12">
        <v>1</v>
      </c>
      <c r="J2258" s="12">
        <v>3</v>
      </c>
      <c r="K2258" s="13" t="str">
        <f>HYPERLINK("http://twitter.com/download/android","Twitter for Android")</f>
        <v>Twitter for Android</v>
      </c>
      <c r="L2258" s="12">
        <v>5127</v>
      </c>
      <c r="M2258" s="12">
        <v>5147</v>
      </c>
      <c r="N2258" s="12">
        <v>33</v>
      </c>
      <c r="O2258" s="15"/>
      <c r="P2258" s="6">
        <v>40259.459560185183</v>
      </c>
      <c r="Q2258" s="16" t="s">
        <v>28</v>
      </c>
      <c r="R2258" s="17" t="s">
        <v>3792</v>
      </c>
      <c r="S2258" s="11"/>
      <c r="T2258" s="11"/>
      <c r="U2258" s="10" t="str">
        <f>HYPERLINK("https://pbs.twimg.com/profile_images/978195787904634880/xKXdKqVW.jpg","View")</f>
        <v>View</v>
      </c>
    </row>
    <row r="2259" spans="1:21" ht="51">
      <c r="A2259" s="6">
        <v>43424.375625000001</v>
      </c>
      <c r="B2259" s="7" t="str">
        <f>HYPERLINK("https://twitter.com/LiberaONG","@LiberaONG")</f>
        <v>@LiberaONG</v>
      </c>
      <c r="C2259" s="8" t="s">
        <v>5941</v>
      </c>
      <c r="D2259" s="9" t="s">
        <v>8201</v>
      </c>
      <c r="E2259" s="10" t="str">
        <f>HYPERLINK("https://twitter.com/LiberaONG/status/1064926569930637316","1064926569930637316")</f>
        <v>1064926569930637316</v>
      </c>
      <c r="F2259" s="14" t="s">
        <v>8202</v>
      </c>
      <c r="G2259" s="14" t="s">
        <v>8203</v>
      </c>
      <c r="H2259" s="11"/>
      <c r="I2259" s="12">
        <v>42</v>
      </c>
      <c r="J2259" s="12">
        <v>26</v>
      </c>
      <c r="K2259" s="13" t="str">
        <f>HYPERLINK("http://twitter.com","Twitter Web Client")</f>
        <v>Twitter Web Client</v>
      </c>
      <c r="L2259" s="12">
        <v>17202</v>
      </c>
      <c r="M2259" s="12">
        <v>1671</v>
      </c>
      <c r="N2259" s="12">
        <v>224</v>
      </c>
      <c r="O2259" s="15"/>
      <c r="P2259" s="6">
        <v>40270.424050925925</v>
      </c>
      <c r="Q2259" s="16" t="s">
        <v>28</v>
      </c>
      <c r="R2259" s="17" t="s">
        <v>5944</v>
      </c>
      <c r="S2259" s="14" t="s">
        <v>5945</v>
      </c>
      <c r="T2259" s="11"/>
      <c r="U2259" s="10" t="str">
        <f>HYPERLINK("https://pbs.twimg.com/profile_images/672469994240897024/f5hC4kMp.png","View")</f>
        <v>View</v>
      </c>
    </row>
    <row r="2260" spans="1:21" ht="51">
      <c r="A2260" s="6">
        <v>43424.375567129631</v>
      </c>
      <c r="B2260" s="7" t="str">
        <f>HYPERLINK("https://twitter.com/Santitcr","@Santitcr")</f>
        <v>@Santitcr</v>
      </c>
      <c r="C2260" s="8" t="s">
        <v>5153</v>
      </c>
      <c r="D2260" s="9" t="s">
        <v>5154</v>
      </c>
      <c r="E2260" s="10" t="str">
        <f>HYPERLINK("https://twitter.com/Santitcr/status/1064926551286972416","1064926551286972416")</f>
        <v>1064926551286972416</v>
      </c>
      <c r="F2260" s="11"/>
      <c r="G2260" s="14" t="s">
        <v>5157</v>
      </c>
      <c r="H2260" s="11"/>
      <c r="I2260" s="12">
        <v>9</v>
      </c>
      <c r="J2260" s="12">
        <v>6</v>
      </c>
      <c r="K2260" s="13" t="str">
        <f>HYPERLINK("https://www.hootsuite.com","Hootsuite Inc.")</f>
        <v>Hootsuite Inc.</v>
      </c>
      <c r="L2260" s="12">
        <v>945</v>
      </c>
      <c r="M2260" s="12">
        <v>1113</v>
      </c>
      <c r="N2260" s="12">
        <v>6</v>
      </c>
      <c r="O2260" s="15"/>
      <c r="P2260" s="6">
        <v>40318.617164351854</v>
      </c>
      <c r="Q2260" s="16" t="s">
        <v>5159</v>
      </c>
      <c r="R2260" s="17" t="s">
        <v>5160</v>
      </c>
      <c r="S2260" s="14" t="s">
        <v>5161</v>
      </c>
      <c r="T2260" s="11"/>
      <c r="U2260" s="10" t="str">
        <f>HYPERLINK("https://pbs.twimg.com/profile_images/1035276906738987008/krCKrzDr.jpg","View")</f>
        <v>View</v>
      </c>
    </row>
    <row r="2261" spans="1:21" ht="40.799999999999997">
      <c r="A2261" s="6">
        <v>43424.375127314815</v>
      </c>
      <c r="B2261" s="7" t="str">
        <f>HYPERLINK("https://twitter.com/Congreso_Es","@Congreso_Es")</f>
        <v>@Congreso_Es</v>
      </c>
      <c r="C2261" s="8" t="s">
        <v>4455</v>
      </c>
      <c r="D2261" s="9" t="s">
        <v>5164</v>
      </c>
      <c r="E2261" s="10" t="str">
        <f>HYPERLINK("https://twitter.com/Congreso_Es/status/1064926392155103233","1064926392155103233")</f>
        <v>1064926392155103233</v>
      </c>
      <c r="F2261" s="14" t="s">
        <v>5165</v>
      </c>
      <c r="G2261" s="14" t="s">
        <v>5166</v>
      </c>
      <c r="H2261" s="11"/>
      <c r="I2261" s="12">
        <v>2</v>
      </c>
      <c r="J2261" s="12">
        <v>3</v>
      </c>
      <c r="K2261" s="13" t="str">
        <f>HYPERLINK("http://twitter.com","Twitter Web Client")</f>
        <v>Twitter Web Client</v>
      </c>
      <c r="L2261" s="12">
        <v>174575</v>
      </c>
      <c r="M2261" s="12">
        <v>877</v>
      </c>
      <c r="N2261" s="12">
        <v>1659</v>
      </c>
      <c r="O2261" s="18" t="s">
        <v>52</v>
      </c>
      <c r="P2261" s="6">
        <v>39966.110127314816</v>
      </c>
      <c r="Q2261" s="16" t="s">
        <v>28</v>
      </c>
      <c r="R2261" s="17" t="s">
        <v>4460</v>
      </c>
      <c r="S2261" s="14" t="s">
        <v>4462</v>
      </c>
      <c r="T2261" s="11"/>
      <c r="U2261" s="10" t="str">
        <f>HYPERLINK("https://pbs.twimg.com/profile_images/1053411069492977664/iG3t9NEY.jpg","View")</f>
        <v>View</v>
      </c>
    </row>
    <row r="2262" spans="1:21" ht="30.6">
      <c r="A2262" s="6">
        <v>43424.375</v>
      </c>
      <c r="B2262" s="7" t="str">
        <f>HYPERLINK("https://twitter.com/sextaNoticias","@sextaNoticias")</f>
        <v>@sextaNoticias</v>
      </c>
      <c r="C2262" s="8" t="s">
        <v>494</v>
      </c>
      <c r="D2262" s="9" t="s">
        <v>5168</v>
      </c>
      <c r="E2262" s="10" t="str">
        <f>HYPERLINK("https://twitter.com/sextaNoticias/status/1064926344843284480","1064926344843284480")</f>
        <v>1064926344843284480</v>
      </c>
      <c r="F2262" s="14" t="s">
        <v>5171</v>
      </c>
      <c r="G2262" s="11"/>
      <c r="H2262" s="11"/>
      <c r="I2262" s="12">
        <v>4</v>
      </c>
      <c r="J2262" s="12">
        <v>7</v>
      </c>
      <c r="K2262" s="13" t="str">
        <f>HYPERLINK("http://dogtrack.es","DogTrack_Oficial")</f>
        <v>DogTrack_Oficial</v>
      </c>
      <c r="L2262" s="12">
        <v>1108908</v>
      </c>
      <c r="M2262" s="12">
        <v>279</v>
      </c>
      <c r="N2262" s="12">
        <v>7292</v>
      </c>
      <c r="O2262" s="18" t="s">
        <v>52</v>
      </c>
      <c r="P2262" s="6">
        <v>40099.239328703705</v>
      </c>
      <c r="Q2262" s="11"/>
      <c r="R2262" s="17" t="s">
        <v>497</v>
      </c>
      <c r="S2262" s="14" t="s">
        <v>498</v>
      </c>
      <c r="T2262" s="11"/>
      <c r="U2262" s="10" t="str">
        <f>HYPERLINK("https://pbs.twimg.com/profile_images/898970208551022592/hh3ITSK-.jpg","View")</f>
        <v>View</v>
      </c>
    </row>
    <row r="2263" spans="1:21" ht="40.799999999999997">
      <c r="A2263" s="6">
        <v>43424.374872685185</v>
      </c>
      <c r="B2263" s="7" t="str">
        <f>HYPERLINK("https://twitter.com/maestrodemocos","@maestrodemocos")</f>
        <v>@maestrodemocos</v>
      </c>
      <c r="C2263" s="8" t="s">
        <v>5172</v>
      </c>
      <c r="D2263" s="9" t="s">
        <v>5173</v>
      </c>
      <c r="E2263" s="10" t="str">
        <f>HYPERLINK("https://twitter.com/maestrodemocos/status/1064926298332688391","1064926298332688391")</f>
        <v>1064926298332688391</v>
      </c>
      <c r="F2263" s="11"/>
      <c r="G2263" s="14" t="s">
        <v>5174</v>
      </c>
      <c r="H2263" s="11"/>
      <c r="I2263" s="12">
        <v>0</v>
      </c>
      <c r="J2263" s="12">
        <v>0</v>
      </c>
      <c r="K2263" s="13" t="str">
        <f>HYPERLINK("http://twitter.com/download/iphone","Twitter for iPhone")</f>
        <v>Twitter for iPhone</v>
      </c>
      <c r="L2263" s="12">
        <v>504</v>
      </c>
      <c r="M2263" s="12">
        <v>847</v>
      </c>
      <c r="N2263" s="12">
        <v>8</v>
      </c>
      <c r="O2263" s="15"/>
      <c r="P2263" s="6">
        <v>40307.122662037036</v>
      </c>
      <c r="Q2263" s="16" t="s">
        <v>5175</v>
      </c>
      <c r="R2263" s="17" t="s">
        <v>5176</v>
      </c>
      <c r="S2263" s="11"/>
      <c r="T2263" s="11"/>
      <c r="U2263" s="10" t="str">
        <f>HYPERLINK("https://pbs.twimg.com/profile_images/742839747790376960/7-wVrSnC.jpg","View")</f>
        <v>View</v>
      </c>
    </row>
    <row r="2264" spans="1:21" ht="20.399999999999999">
      <c r="A2264" s="6">
        <v>43424.374525462961</v>
      </c>
      <c r="B2264" s="7" t="str">
        <f>HYPERLINK("https://twitter.com/josuaj8","@josuaj8")</f>
        <v>@josuaj8</v>
      </c>
      <c r="C2264" s="8" t="s">
        <v>8049</v>
      </c>
      <c r="D2264" s="9" t="s">
        <v>7957</v>
      </c>
      <c r="E2264" s="10" t="str">
        <f>HYPERLINK("https://twitter.com/josuaj8/status/1064926170943299584","1064926170943299584")</f>
        <v>1064926170943299584</v>
      </c>
      <c r="F2264" s="14" t="s">
        <v>2122</v>
      </c>
      <c r="G2264" s="11"/>
      <c r="H2264" s="11"/>
      <c r="I2264" s="12">
        <v>0</v>
      </c>
      <c r="J2264" s="12">
        <v>0</v>
      </c>
      <c r="K2264" s="13" t="str">
        <f>HYPERLINK("http://www.facebook.com/twitter","Facebook")</f>
        <v>Facebook</v>
      </c>
      <c r="L2264" s="12">
        <v>1123</v>
      </c>
      <c r="M2264" s="12">
        <v>2002</v>
      </c>
      <c r="N2264" s="12">
        <v>8</v>
      </c>
      <c r="O2264" s="15"/>
      <c r="P2264" s="6">
        <v>40585.515775462962</v>
      </c>
      <c r="Q2264" s="16" t="s">
        <v>4893</v>
      </c>
      <c r="R2264" s="17" t="s">
        <v>8052</v>
      </c>
      <c r="S2264" s="11"/>
      <c r="T2264" s="11"/>
      <c r="U2264" s="10" t="str">
        <f>HYPERLINK("https://pbs.twimg.com/profile_images/610918639785615363/5fxcwIxD.jpg","View")</f>
        <v>View</v>
      </c>
    </row>
    <row r="2265" spans="1:21" ht="51">
      <c r="A2265" s="6">
        <v>43424.373703703706</v>
      </c>
      <c r="B2265" s="7" t="str">
        <f>HYPERLINK("https://twitter.com/ECamorca","@ECamorca")</f>
        <v>@ECamorca</v>
      </c>
      <c r="C2265" s="8" t="s">
        <v>8204</v>
      </c>
      <c r="D2265" s="9" t="s">
        <v>8205</v>
      </c>
      <c r="E2265" s="10" t="str">
        <f>HYPERLINK("https://twitter.com/ECamorca/status/1064925872879222784","1064925872879222784")</f>
        <v>1064925872879222784</v>
      </c>
      <c r="F2265" s="11"/>
      <c r="G2265" s="11"/>
      <c r="H2265" s="11"/>
      <c r="I2265" s="12">
        <v>0</v>
      </c>
      <c r="J2265" s="12">
        <v>0</v>
      </c>
      <c r="K2265" s="13" t="str">
        <f>HYPERLINK("http://twitter.com/download/android","Twitter for Android")</f>
        <v>Twitter for Android</v>
      </c>
      <c r="L2265" s="12">
        <v>1</v>
      </c>
      <c r="M2265" s="12">
        <v>3</v>
      </c>
      <c r="N2265" s="12">
        <v>0</v>
      </c>
      <c r="O2265" s="15"/>
      <c r="P2265" s="6">
        <v>43361.475694444445</v>
      </c>
      <c r="Q2265" s="11"/>
      <c r="R2265" s="17" t="s">
        <v>8206</v>
      </c>
      <c r="S2265" s="11"/>
      <c r="T2265" s="11"/>
      <c r="U2265" s="10" t="str">
        <f>HYPERLINK("https://pbs.twimg.com/profile_images/1042306007911817218/UtNJy34N.jpg","View")</f>
        <v>View</v>
      </c>
    </row>
    <row r="2266" spans="1:21" ht="51">
      <c r="A2266" s="6">
        <v>43424.373148148152</v>
      </c>
      <c r="B2266" s="7" t="str">
        <f>HYPERLINK("https://twitter.com/ZUPEMOLON","@ZUPEMOLON")</f>
        <v>@ZUPEMOLON</v>
      </c>
      <c r="C2266" s="8" t="s">
        <v>5178</v>
      </c>
      <c r="D2266" s="9" t="s">
        <v>5179</v>
      </c>
      <c r="E2266" s="10" t="str">
        <f>HYPERLINK("https://twitter.com/ZUPEMOLON/status/1064925671485526018","1064925671485526018")</f>
        <v>1064925671485526018</v>
      </c>
      <c r="F2266" s="14" t="s">
        <v>5183</v>
      </c>
      <c r="G2266" s="14" t="s">
        <v>5184</v>
      </c>
      <c r="H2266" s="11"/>
      <c r="I2266" s="12">
        <v>0</v>
      </c>
      <c r="J2266" s="12">
        <v>0</v>
      </c>
      <c r="K2266" s="13" t="str">
        <f>HYPERLINK("http://twitter.com/download/iphone","Twitter for iPhone")</f>
        <v>Twitter for iPhone</v>
      </c>
      <c r="L2266" s="12">
        <v>1501</v>
      </c>
      <c r="M2266" s="12">
        <v>871</v>
      </c>
      <c r="N2266" s="12">
        <v>49</v>
      </c>
      <c r="O2266" s="15"/>
      <c r="P2266" s="6">
        <v>39968.537372685183</v>
      </c>
      <c r="Q2266" s="16" t="s">
        <v>5185</v>
      </c>
      <c r="R2266" s="17" t="s">
        <v>5186</v>
      </c>
      <c r="S2266" s="11"/>
      <c r="T2266" s="11"/>
      <c r="U2266" s="10" t="str">
        <f>HYPERLINK("https://pbs.twimg.com/profile_images/1032608537753440257/yG9oiMW_.jpg","View")</f>
        <v>View</v>
      </c>
    </row>
    <row r="2267" spans="1:21" ht="51">
      <c r="A2267" s="6">
        <v>43424.371342592596</v>
      </c>
      <c r="B2267" s="7" t="str">
        <f>HYPERLINK("https://twitter.com/pnique","@pnique")</f>
        <v>@pnique</v>
      </c>
      <c r="C2267" s="8" t="s">
        <v>2629</v>
      </c>
      <c r="D2267" s="9" t="s">
        <v>5188</v>
      </c>
      <c r="E2267" s="10" t="str">
        <f>HYPERLINK("https://twitter.com/pnique/status/1064925019451678720","1064925019451678720")</f>
        <v>1064925019451678720</v>
      </c>
      <c r="F2267" s="11"/>
      <c r="G2267" s="14" t="s">
        <v>3198</v>
      </c>
      <c r="H2267" s="11"/>
      <c r="I2267" s="12">
        <v>341</v>
      </c>
      <c r="J2267" s="12">
        <v>521</v>
      </c>
      <c r="K2267" s="13" t="str">
        <f>HYPERLINK("https://studio.twitter.com","Media Studio")</f>
        <v>Media Studio</v>
      </c>
      <c r="L2267" s="12">
        <v>434211</v>
      </c>
      <c r="M2267" s="12">
        <v>2000</v>
      </c>
      <c r="N2267" s="12">
        <v>2555</v>
      </c>
      <c r="O2267" s="18" t="s">
        <v>52</v>
      </c>
      <c r="P2267" s="6">
        <v>39892.503287037034</v>
      </c>
      <c r="Q2267" s="16" t="s">
        <v>28</v>
      </c>
      <c r="R2267" s="17" t="s">
        <v>2634</v>
      </c>
      <c r="S2267" s="14" t="s">
        <v>2635</v>
      </c>
      <c r="T2267" s="11"/>
      <c r="U2267" s="10" t="str">
        <f>HYPERLINK("https://pbs.twimg.com/profile_images/1023484378364760065/1e8RgI_V.jpg","View")</f>
        <v>View</v>
      </c>
    </row>
    <row r="2268" spans="1:21" ht="40.799999999999997">
      <c r="A2268" s="6">
        <v>43424.37100694445</v>
      </c>
      <c r="B2268" s="7" t="str">
        <f>HYPERLINK("https://twitter.com/Don_Erreqerre","@Don_Erreqerre")</f>
        <v>@Don_Erreqerre</v>
      </c>
      <c r="C2268" s="8" t="s">
        <v>2799</v>
      </c>
      <c r="D2268" s="9" t="s">
        <v>5192</v>
      </c>
      <c r="E2268" s="10" t="str">
        <f>HYPERLINK("https://twitter.com/Don_Erreqerre/status/1064924897804201984","1064924897804201984")</f>
        <v>1064924897804201984</v>
      </c>
      <c r="F2268" s="11"/>
      <c r="G2268" s="11"/>
      <c r="H2268" s="11"/>
      <c r="I2268" s="12">
        <v>0</v>
      </c>
      <c r="J2268" s="12">
        <v>2</v>
      </c>
      <c r="K2268" s="13" t="str">
        <f>HYPERLINK("http://twitter.com/download/android","Twitter for Android")</f>
        <v>Twitter for Android</v>
      </c>
      <c r="L2268" s="12">
        <v>1336</v>
      </c>
      <c r="M2268" s="12">
        <v>1918</v>
      </c>
      <c r="N2268" s="12">
        <v>17</v>
      </c>
      <c r="O2268" s="15"/>
      <c r="P2268" s="6">
        <v>42583.258506944447</v>
      </c>
      <c r="Q2268" s="11"/>
      <c r="R2268" s="17" t="s">
        <v>2802</v>
      </c>
      <c r="S2268" s="11"/>
      <c r="T2268" s="11"/>
      <c r="U2268" s="10" t="str">
        <f>HYPERLINK("https://pbs.twimg.com/profile_images/922104917715832832/tKwzmJac.jpg","View")</f>
        <v>View</v>
      </c>
    </row>
    <row r="2269" spans="1:21" ht="51">
      <c r="A2269" s="6">
        <v>43424.369409722218</v>
      </c>
      <c r="B2269" s="7" t="str">
        <f>HYPERLINK("https://twitter.com/Dandastur","@Dandastur")</f>
        <v>@Dandastur</v>
      </c>
      <c r="C2269" s="8" t="s">
        <v>8207</v>
      </c>
      <c r="D2269" s="9" t="s">
        <v>8208</v>
      </c>
      <c r="E2269" s="10" t="str">
        <f>HYPERLINK("https://twitter.com/Dandastur/status/1064924318747058176","1064924318747058176")</f>
        <v>1064924318747058176</v>
      </c>
      <c r="F2269" s="11"/>
      <c r="G2269" s="11"/>
      <c r="H2269" s="11"/>
      <c r="I2269" s="12">
        <v>0</v>
      </c>
      <c r="J2269" s="12">
        <v>1</v>
      </c>
      <c r="K2269" s="13" t="str">
        <f>HYPERLINK("http://twitter.com","Twitter Web Client")</f>
        <v>Twitter Web Client</v>
      </c>
      <c r="L2269" s="12">
        <v>1117</v>
      </c>
      <c r="M2269" s="12">
        <v>700</v>
      </c>
      <c r="N2269" s="12">
        <v>171</v>
      </c>
      <c r="O2269" s="15"/>
      <c r="P2269" s="6">
        <v>40604.247245370367</v>
      </c>
      <c r="Q2269" s="16" t="s">
        <v>8209</v>
      </c>
      <c r="R2269" s="17" t="s">
        <v>8210</v>
      </c>
      <c r="S2269" s="14" t="s">
        <v>8211</v>
      </c>
      <c r="T2269" s="11"/>
      <c r="U2269" s="10" t="str">
        <f>HYPERLINK("https://pbs.twimg.com/profile_images/997205486272311296/LkS3sRzU.jpg","View")</f>
        <v>View</v>
      </c>
    </row>
    <row r="2270" spans="1:21" ht="40.799999999999997">
      <c r="A2270" s="6">
        <v>43424.36650462963</v>
      </c>
      <c r="B2270" s="7" t="str">
        <f>HYPERLINK("https://twitter.com/PodemosCongreso","@PodemosCongreso")</f>
        <v>@PodemosCongreso</v>
      </c>
      <c r="C2270" s="8" t="s">
        <v>4485</v>
      </c>
      <c r="D2270" s="9" t="s">
        <v>5196</v>
      </c>
      <c r="E2270" s="10" t="str">
        <f>HYPERLINK("https://twitter.com/PodemosCongreso/status/1064923264466788352","1064923264466788352")</f>
        <v>1064923264466788352</v>
      </c>
      <c r="F2270" s="14" t="s">
        <v>5197</v>
      </c>
      <c r="G2270" s="14" t="s">
        <v>5201</v>
      </c>
      <c r="H2270" s="11"/>
      <c r="I2270" s="12">
        <v>24</v>
      </c>
      <c r="J2270" s="12">
        <v>29</v>
      </c>
      <c r="K2270" s="13" t="str">
        <f>HYPERLINK("https://studio.twitter.com","Media Studio")</f>
        <v>Media Studio</v>
      </c>
      <c r="L2270" s="12">
        <v>24464</v>
      </c>
      <c r="M2270" s="12">
        <v>987</v>
      </c>
      <c r="N2270" s="12">
        <v>288</v>
      </c>
      <c r="O2270" s="18" t="s">
        <v>52</v>
      </c>
      <c r="P2270" s="6">
        <v>42388.145625000005</v>
      </c>
      <c r="Q2270" s="11"/>
      <c r="R2270" s="17" t="s">
        <v>4489</v>
      </c>
      <c r="S2270" s="14" t="s">
        <v>4490</v>
      </c>
      <c r="T2270" s="11"/>
      <c r="U2270" s="10" t="str">
        <f>HYPERLINK("https://pbs.twimg.com/profile_images/1036944275748085760/MC4zMTIS.jpg","View")</f>
        <v>View</v>
      </c>
    </row>
    <row r="2271" spans="1:21" ht="61.2">
      <c r="A2271" s="6">
        <v>43424.364120370374</v>
      </c>
      <c r="B2271" s="7" t="str">
        <f>HYPERLINK("https://twitter.com/elentrometido","@elentrometido")</f>
        <v>@elentrometido</v>
      </c>
      <c r="C2271" s="8" t="s">
        <v>5202</v>
      </c>
      <c r="D2271" s="9" t="s">
        <v>5203</v>
      </c>
      <c r="E2271" s="10" t="str">
        <f>HYPERLINK("https://twitter.com/elentrometido/status/1064922399571886080","1064922399571886080")</f>
        <v>1064922399571886080</v>
      </c>
      <c r="F2271" s="16" t="s">
        <v>5204</v>
      </c>
      <c r="G2271" s="11"/>
      <c r="H2271" s="11"/>
      <c r="I2271" s="12">
        <v>4</v>
      </c>
      <c r="J2271" s="12">
        <v>9</v>
      </c>
      <c r="K2271" s="13" t="str">
        <f>HYPERLINK("http://twitter.com/download/iphone","Twitter for iPhone")</f>
        <v>Twitter for iPhone</v>
      </c>
      <c r="L2271" s="12">
        <v>4278</v>
      </c>
      <c r="M2271" s="12">
        <v>2216</v>
      </c>
      <c r="N2271" s="12">
        <v>53</v>
      </c>
      <c r="O2271" s="15"/>
      <c r="P2271" s="6">
        <v>40767.302847222221</v>
      </c>
      <c r="Q2271" s="16" t="s">
        <v>5205</v>
      </c>
      <c r="R2271" s="17" t="s">
        <v>5206</v>
      </c>
      <c r="S2271" s="14" t="s">
        <v>5207</v>
      </c>
      <c r="T2271" s="11"/>
      <c r="U2271" s="10" t="str">
        <f>HYPERLINK("https://pbs.twimg.com/profile_images/951339656821526528/o2CqBZmu.jpg","View")</f>
        <v>View</v>
      </c>
    </row>
    <row r="2272" spans="1:21" ht="20.399999999999999">
      <c r="A2272" s="6">
        <v>43424.363125000003</v>
      </c>
      <c r="B2272" s="7" t="str">
        <f t="shared" ref="B2272:B2273" si="473">HYPERLINK("https://twitter.com/Joseluis9819819","@Joseluis9819819")</f>
        <v>@Joseluis9819819</v>
      </c>
      <c r="C2272" s="8" t="s">
        <v>6752</v>
      </c>
      <c r="D2272" s="9" t="s">
        <v>8212</v>
      </c>
      <c r="E2272" s="10" t="str">
        <f>HYPERLINK("https://twitter.com/Joseluis9819819/status/1064922040283615233","1064922040283615233")</f>
        <v>1064922040283615233</v>
      </c>
      <c r="F2272" s="14" t="s">
        <v>8213</v>
      </c>
      <c r="G2272" s="14" t="s">
        <v>8214</v>
      </c>
      <c r="H2272" s="11"/>
      <c r="I2272" s="12">
        <v>0</v>
      </c>
      <c r="J2272" s="12">
        <v>0</v>
      </c>
      <c r="K2272" s="13" t="str">
        <f t="shared" ref="K2272:K2273" si="474">HYPERLINK("http://twitter.com","Twitter Web Client")</f>
        <v>Twitter Web Client</v>
      </c>
      <c r="L2272" s="12">
        <v>1141</v>
      </c>
      <c r="M2272" s="12">
        <v>1198</v>
      </c>
      <c r="N2272" s="12">
        <v>4</v>
      </c>
      <c r="O2272" s="15"/>
      <c r="P2272" s="6">
        <v>42762.435601851852</v>
      </c>
      <c r="Q2272" s="16" t="s">
        <v>6755</v>
      </c>
      <c r="R2272" s="17" t="s">
        <v>6756</v>
      </c>
      <c r="S2272" s="11"/>
      <c r="T2272" s="11"/>
      <c r="U2272" s="10" t="str">
        <f t="shared" ref="U2272:U2273" si="475">HYPERLINK("https://pbs.twimg.com/profile_images/922507954200416258/mEHj1Ixm.jpg","View")</f>
        <v>View</v>
      </c>
    </row>
    <row r="2273" spans="1:21" ht="20.399999999999999">
      <c r="A2273" s="6">
        <v>43424.362523148149</v>
      </c>
      <c r="B2273" s="7" t="str">
        <f t="shared" si="473"/>
        <v>@Joseluis9819819</v>
      </c>
      <c r="C2273" s="8" t="s">
        <v>6752</v>
      </c>
      <c r="D2273" s="9" t="s">
        <v>8215</v>
      </c>
      <c r="E2273" s="10" t="str">
        <f>HYPERLINK("https://twitter.com/Joseluis9819819/status/1064921821454192640","1064921821454192640")</f>
        <v>1064921821454192640</v>
      </c>
      <c r="F2273" s="14" t="s">
        <v>8213</v>
      </c>
      <c r="G2273" s="11"/>
      <c r="H2273" s="11"/>
      <c r="I2273" s="12">
        <v>0</v>
      </c>
      <c r="J2273" s="12">
        <v>0</v>
      </c>
      <c r="K2273" s="13" t="str">
        <f t="shared" si="474"/>
        <v>Twitter Web Client</v>
      </c>
      <c r="L2273" s="12">
        <v>1141</v>
      </c>
      <c r="M2273" s="12">
        <v>1198</v>
      </c>
      <c r="N2273" s="12">
        <v>4</v>
      </c>
      <c r="O2273" s="15"/>
      <c r="P2273" s="6">
        <v>42762.435601851852</v>
      </c>
      <c r="Q2273" s="16" t="s">
        <v>6755</v>
      </c>
      <c r="R2273" s="17" t="s">
        <v>6756</v>
      </c>
      <c r="S2273" s="11"/>
      <c r="T2273" s="11"/>
      <c r="U2273" s="10" t="str">
        <f t="shared" si="475"/>
        <v>View</v>
      </c>
    </row>
    <row r="2274" spans="1:21" ht="20.399999999999999">
      <c r="A2274" s="6">
        <v>43424.361388888894</v>
      </c>
      <c r="B2274" s="7" t="str">
        <f>HYPERLINK("https://twitter.com/Dommorsan","@Dommorsan")</f>
        <v>@Dommorsan</v>
      </c>
      <c r="C2274" s="8" t="s">
        <v>8216</v>
      </c>
      <c r="D2274" s="9" t="s">
        <v>7242</v>
      </c>
      <c r="E2274" s="10" t="str">
        <f>HYPERLINK("https://twitter.com/Dommorsan/status/1064921411809148928","1064921411809148928")</f>
        <v>1064921411809148928</v>
      </c>
      <c r="F2274" s="14" t="s">
        <v>7243</v>
      </c>
      <c r="G2274" s="11"/>
      <c r="H2274" s="11"/>
      <c r="I2274" s="12">
        <v>0</v>
      </c>
      <c r="J2274" s="12">
        <v>0</v>
      </c>
      <c r="K2274" s="13" t="str">
        <f>HYPERLINK("https://www.google.com/","Google")</f>
        <v>Google</v>
      </c>
      <c r="L2274" s="12">
        <v>2848</v>
      </c>
      <c r="M2274" s="12">
        <v>3411</v>
      </c>
      <c r="N2274" s="12">
        <v>6</v>
      </c>
      <c r="O2274" s="15"/>
      <c r="P2274" s="6">
        <v>40620.717256944445</v>
      </c>
      <c r="Q2274" s="16" t="s">
        <v>28</v>
      </c>
      <c r="R2274" s="17" t="s">
        <v>8217</v>
      </c>
      <c r="S2274" s="14" t="s">
        <v>8218</v>
      </c>
      <c r="T2274" s="11"/>
      <c r="U2274" s="10" t="str">
        <f>HYPERLINK("https://pbs.twimg.com/profile_images/1442597736/P1020835_copia.jpg","View")</f>
        <v>View</v>
      </c>
    </row>
    <row r="2275" spans="1:21" ht="20.399999999999999">
      <c r="A2275" s="6">
        <v>43424.361296296294</v>
      </c>
      <c r="B2275" s="7" t="str">
        <f t="shared" ref="B2275:B2277" si="476">HYPERLINK("https://twitter.com/Joseluis9819819","@Joseluis9819819")</f>
        <v>@Joseluis9819819</v>
      </c>
      <c r="C2275" s="8" t="s">
        <v>6752</v>
      </c>
      <c r="D2275" s="9" t="s">
        <v>8212</v>
      </c>
      <c r="E2275" s="10" t="str">
        <f>HYPERLINK("https://twitter.com/Joseluis9819819/status/1064921380125384705","1064921380125384705")</f>
        <v>1064921380125384705</v>
      </c>
      <c r="F2275" s="14" t="s">
        <v>8213</v>
      </c>
      <c r="G2275" s="14" t="s">
        <v>8219</v>
      </c>
      <c r="H2275" s="11"/>
      <c r="I2275" s="12">
        <v>0</v>
      </c>
      <c r="J2275" s="12">
        <v>0</v>
      </c>
      <c r="K2275" s="13" t="str">
        <f t="shared" ref="K2275:K2277" si="477">HYPERLINK("http://twitter.com","Twitter Web Client")</f>
        <v>Twitter Web Client</v>
      </c>
      <c r="L2275" s="12">
        <v>1141</v>
      </c>
      <c r="M2275" s="12">
        <v>1198</v>
      </c>
      <c r="N2275" s="12">
        <v>4</v>
      </c>
      <c r="O2275" s="15"/>
      <c r="P2275" s="6">
        <v>42762.435601851852</v>
      </c>
      <c r="Q2275" s="16" t="s">
        <v>6755</v>
      </c>
      <c r="R2275" s="17" t="s">
        <v>6756</v>
      </c>
      <c r="S2275" s="11"/>
      <c r="T2275" s="11"/>
      <c r="U2275" s="10" t="str">
        <f t="shared" ref="U2275:U2277" si="478">HYPERLINK("https://pbs.twimg.com/profile_images/922507954200416258/mEHj1Ixm.jpg","View")</f>
        <v>View</v>
      </c>
    </row>
    <row r="2276" spans="1:21" ht="20.399999999999999">
      <c r="A2276" s="6">
        <v>43424.360520833332</v>
      </c>
      <c r="B2276" s="7" t="str">
        <f t="shared" si="476"/>
        <v>@Joseluis9819819</v>
      </c>
      <c r="C2276" s="8" t="s">
        <v>6752</v>
      </c>
      <c r="D2276" s="9" t="s">
        <v>8220</v>
      </c>
      <c r="E2276" s="10" t="str">
        <f>HYPERLINK("https://twitter.com/Joseluis9819819/status/1064921098377195522","1064921098377195522")</f>
        <v>1064921098377195522</v>
      </c>
      <c r="F2276" s="14" t="s">
        <v>8213</v>
      </c>
      <c r="G2276" s="11"/>
      <c r="H2276" s="11"/>
      <c r="I2276" s="12">
        <v>0</v>
      </c>
      <c r="J2276" s="12">
        <v>0</v>
      </c>
      <c r="K2276" s="13" t="str">
        <f t="shared" si="477"/>
        <v>Twitter Web Client</v>
      </c>
      <c r="L2276" s="12">
        <v>1141</v>
      </c>
      <c r="M2276" s="12">
        <v>1198</v>
      </c>
      <c r="N2276" s="12">
        <v>4</v>
      </c>
      <c r="O2276" s="15"/>
      <c r="P2276" s="6">
        <v>42762.435601851852</v>
      </c>
      <c r="Q2276" s="16" t="s">
        <v>6755</v>
      </c>
      <c r="R2276" s="17" t="s">
        <v>6756</v>
      </c>
      <c r="S2276" s="11"/>
      <c r="T2276" s="11"/>
      <c r="U2276" s="10" t="str">
        <f t="shared" si="478"/>
        <v>View</v>
      </c>
    </row>
    <row r="2277" spans="1:21" ht="20.399999999999999">
      <c r="A2277" s="6">
        <v>43424.359942129631</v>
      </c>
      <c r="B2277" s="7" t="str">
        <f t="shared" si="476"/>
        <v>@Joseluis9819819</v>
      </c>
      <c r="C2277" s="8" t="s">
        <v>6752</v>
      </c>
      <c r="D2277" s="9" t="s">
        <v>8212</v>
      </c>
      <c r="E2277" s="10" t="str">
        <f>HYPERLINK("https://twitter.com/Joseluis9819819/status/1064920887080693767","1064920887080693767")</f>
        <v>1064920887080693767</v>
      </c>
      <c r="F2277" s="14" t="s">
        <v>8213</v>
      </c>
      <c r="G2277" s="11"/>
      <c r="H2277" s="11"/>
      <c r="I2277" s="12">
        <v>0</v>
      </c>
      <c r="J2277" s="12">
        <v>0</v>
      </c>
      <c r="K2277" s="13" t="str">
        <f t="shared" si="477"/>
        <v>Twitter Web Client</v>
      </c>
      <c r="L2277" s="12">
        <v>1141</v>
      </c>
      <c r="M2277" s="12">
        <v>1198</v>
      </c>
      <c r="N2277" s="12">
        <v>4</v>
      </c>
      <c r="O2277" s="15"/>
      <c r="P2277" s="6">
        <v>42762.435601851852</v>
      </c>
      <c r="Q2277" s="16" t="s">
        <v>6755</v>
      </c>
      <c r="R2277" s="17" t="s">
        <v>6756</v>
      </c>
      <c r="S2277" s="11"/>
      <c r="T2277" s="11"/>
      <c r="U2277" s="10" t="str">
        <f t="shared" si="478"/>
        <v>View</v>
      </c>
    </row>
    <row r="2278" spans="1:21" ht="40.799999999999997">
      <c r="A2278" s="6">
        <v>43424.359606481477</v>
      </c>
      <c r="B2278" s="7" t="str">
        <f>HYPERLINK("https://twitter.com/Ricardo13625223","@Ricardo13625223")</f>
        <v>@Ricardo13625223</v>
      </c>
      <c r="C2278" s="8" t="s">
        <v>4597</v>
      </c>
      <c r="D2278" s="9" t="s">
        <v>8221</v>
      </c>
      <c r="E2278" s="10" t="str">
        <f>HYPERLINK("https://twitter.com/Ricardo13625223/status/1064920764950949889","1064920764950949889")</f>
        <v>1064920764950949889</v>
      </c>
      <c r="F2278" s="14" t="s">
        <v>2122</v>
      </c>
      <c r="G2278" s="11"/>
      <c r="H2278" s="11"/>
      <c r="I2278" s="12">
        <v>8</v>
      </c>
      <c r="J2278" s="12">
        <v>2</v>
      </c>
      <c r="K2278" s="13" t="str">
        <f>HYPERLINK("http://twitter.com/download/android","Twitter for Android")</f>
        <v>Twitter for Android</v>
      </c>
      <c r="L2278" s="12">
        <v>5286</v>
      </c>
      <c r="M2278" s="12">
        <v>5110</v>
      </c>
      <c r="N2278" s="12">
        <v>19</v>
      </c>
      <c r="O2278" s="15"/>
      <c r="P2278" s="6">
        <v>42767.422800925924</v>
      </c>
      <c r="Q2278" s="16" t="s">
        <v>4600</v>
      </c>
      <c r="R2278" s="17" t="s">
        <v>4601</v>
      </c>
      <c r="S2278" s="11"/>
      <c r="T2278" s="11"/>
      <c r="U2278" s="10" t="str">
        <f>HYPERLINK("https://pbs.twimg.com/profile_images/1051127391291105280/RYohfU97.jpg","View")</f>
        <v>View</v>
      </c>
    </row>
    <row r="2279" spans="1:21" ht="40.799999999999997">
      <c r="A2279" s="6">
        <v>43424.353356481486</v>
      </c>
      <c r="B2279" s="7" t="str">
        <f>HYPERLINK("https://twitter.com/aguantelagrieta","@aguantelagrieta")</f>
        <v>@aguantelagrieta</v>
      </c>
      <c r="C2279" s="8" t="s">
        <v>8222</v>
      </c>
      <c r="D2279" s="9" t="s">
        <v>8223</v>
      </c>
      <c r="E2279" s="10" t="str">
        <f>HYPERLINK("https://twitter.com/aguantelagrieta/status/1064918502778306560","1064918502778306560")</f>
        <v>1064918502778306560</v>
      </c>
      <c r="F2279" s="11"/>
      <c r="G2279" s="11"/>
      <c r="H2279" s="11"/>
      <c r="I2279" s="12">
        <v>0</v>
      </c>
      <c r="J2279" s="12">
        <v>0</v>
      </c>
      <c r="K2279" s="13" t="str">
        <f>HYPERLINK("https://mobile.twitter.com","Twitter Lite")</f>
        <v>Twitter Lite</v>
      </c>
      <c r="L2279" s="12">
        <v>199</v>
      </c>
      <c r="M2279" s="12">
        <v>496</v>
      </c>
      <c r="N2279" s="12">
        <v>1</v>
      </c>
      <c r="O2279" s="15"/>
      <c r="P2279" s="6">
        <v>40449.708518518521</v>
      </c>
      <c r="Q2279" s="16" t="s">
        <v>3370</v>
      </c>
      <c r="R2279" s="17" t="s">
        <v>8224</v>
      </c>
      <c r="S2279" s="14" t="s">
        <v>8225</v>
      </c>
      <c r="T2279" s="11"/>
      <c r="U2279" s="10" t="str">
        <f>HYPERLINK("https://pbs.twimg.com/profile_images/1027904545412788224/ZQqWWNEV.jpg","View")</f>
        <v>View</v>
      </c>
    </row>
    <row r="2280" spans="1:21" ht="51">
      <c r="A2280" s="6">
        <v>43424.351840277777</v>
      </c>
      <c r="B2280" s="7" t="str">
        <f>HYPERLINK("https://twitter.com/enrilink","@enrilink")</f>
        <v>@enrilink</v>
      </c>
      <c r="C2280" s="8" t="s">
        <v>5208</v>
      </c>
      <c r="D2280" s="9" t="s">
        <v>5209</v>
      </c>
      <c r="E2280" s="10" t="str">
        <f>HYPERLINK("https://twitter.com/enrilink/status/1064917950287814657","1064917950287814657")</f>
        <v>1064917950287814657</v>
      </c>
      <c r="F2280" s="11"/>
      <c r="G2280" s="11"/>
      <c r="H2280" s="11"/>
      <c r="I2280" s="12">
        <v>2</v>
      </c>
      <c r="J2280" s="12">
        <v>0</v>
      </c>
      <c r="K2280" s="13" t="str">
        <f>HYPERLINK("http://twitter.com/download/android","Twitter for Android")</f>
        <v>Twitter for Android</v>
      </c>
      <c r="L2280" s="12">
        <v>18189</v>
      </c>
      <c r="M2280" s="12">
        <v>19576</v>
      </c>
      <c r="N2280" s="12">
        <v>93</v>
      </c>
      <c r="O2280" s="15"/>
      <c r="P2280" s="6">
        <v>40683.147314814814</v>
      </c>
      <c r="Q2280" s="16" t="s">
        <v>5210</v>
      </c>
      <c r="R2280" s="17" t="s">
        <v>5211</v>
      </c>
      <c r="S2280" s="14" t="s">
        <v>5212</v>
      </c>
      <c r="T2280" s="11"/>
      <c r="U2280" s="10" t="str">
        <f>HYPERLINK("https://pbs.twimg.com/profile_images/477717473270448128/FX5Dcya9.jpeg","View")</f>
        <v>View</v>
      </c>
    </row>
    <row r="2281" spans="1:21" ht="51">
      <c r="A2281" s="6">
        <v>43424.351365740746</v>
      </c>
      <c r="B2281" s="7" t="str">
        <f>HYPERLINK("https://twitter.com/DiosCoquelin","@DiosCoquelin")</f>
        <v>@DiosCoquelin</v>
      </c>
      <c r="C2281" s="8" t="s">
        <v>8226</v>
      </c>
      <c r="D2281" s="9" t="s">
        <v>8227</v>
      </c>
      <c r="E2281" s="10" t="str">
        <f>HYPERLINK("https://twitter.com/DiosCoquelin/status/1064917779000803334","1064917779000803334")</f>
        <v>1064917779000803334</v>
      </c>
      <c r="F2281" s="11"/>
      <c r="G2281" s="11"/>
      <c r="H2281" s="11"/>
      <c r="I2281" s="12">
        <v>3</v>
      </c>
      <c r="J2281" s="12">
        <v>3</v>
      </c>
      <c r="K2281" s="13" t="str">
        <f>HYPERLINK("http://twitter.com","Twitter Web Client")</f>
        <v>Twitter Web Client</v>
      </c>
      <c r="L2281" s="12">
        <v>219</v>
      </c>
      <c r="M2281" s="12">
        <v>187</v>
      </c>
      <c r="N2281" s="12">
        <v>1</v>
      </c>
      <c r="O2281" s="15"/>
      <c r="P2281" s="6">
        <v>41843.465358796297</v>
      </c>
      <c r="Q2281" s="16" t="s">
        <v>8228</v>
      </c>
      <c r="R2281" s="17" t="s">
        <v>8229</v>
      </c>
      <c r="S2281" s="11"/>
      <c r="T2281" s="11"/>
      <c r="U2281" s="10" t="str">
        <f>HYPERLINK("https://pbs.twimg.com/profile_images/1063454989811621889/Sm25lGFW.jpg","View")</f>
        <v>View</v>
      </c>
    </row>
    <row r="2282" spans="1:21" ht="20.399999999999999">
      <c r="A2282" s="6">
        <v>43424.350138888884</v>
      </c>
      <c r="B2282" s="7" t="str">
        <f>HYPERLINK("https://twitter.com/ElDiestro_","@ElDiestro_")</f>
        <v>@ElDiestro_</v>
      </c>
      <c r="C2282" s="8" t="s">
        <v>8230</v>
      </c>
      <c r="D2282" s="9" t="s">
        <v>8231</v>
      </c>
      <c r="E2282" s="10" t="str">
        <f>HYPERLINK("https://twitter.com/ElDiestro_/status/1064917335205732352","1064917335205732352")</f>
        <v>1064917335205732352</v>
      </c>
      <c r="F2282" s="14" t="s">
        <v>8232</v>
      </c>
      <c r="G2282" s="11"/>
      <c r="H2282" s="11"/>
      <c r="I2282" s="12">
        <v>4</v>
      </c>
      <c r="J2282" s="12">
        <v>1</v>
      </c>
      <c r="K2282" s="13" t="str">
        <f>HYPERLINK("http://twitter.com/download/iphone","Twitter for iPhone")</f>
        <v>Twitter for iPhone</v>
      </c>
      <c r="L2282" s="12">
        <v>7597</v>
      </c>
      <c r="M2282" s="12">
        <v>5285</v>
      </c>
      <c r="N2282" s="12">
        <v>57</v>
      </c>
      <c r="O2282" s="15"/>
      <c r="P2282" s="6">
        <v>42401.40006944444</v>
      </c>
      <c r="Q2282" s="16" t="s">
        <v>28</v>
      </c>
      <c r="R2282" s="17" t="s">
        <v>8233</v>
      </c>
      <c r="S2282" s="14" t="s">
        <v>8234</v>
      </c>
      <c r="T2282" s="11"/>
      <c r="U2282" s="10" t="str">
        <f>HYPERLINK("https://pbs.twimg.com/profile_images/938514288549023744/w6f25Sox.jpg","View")</f>
        <v>View</v>
      </c>
    </row>
    <row r="2283" spans="1:21" ht="51">
      <c r="A2283" s="6">
        <v>43424.349502314813</v>
      </c>
      <c r="B2283" s="7" t="str">
        <f>HYPERLINK("https://twitter.com/meryfm12","@meryfm12")</f>
        <v>@meryfm12</v>
      </c>
      <c r="C2283" s="8" t="s">
        <v>8235</v>
      </c>
      <c r="D2283" s="9" t="s">
        <v>8236</v>
      </c>
      <c r="E2283" s="10" t="str">
        <f>HYPERLINK("https://twitter.com/meryfm12/status/1064917106020556801","1064917106020556801")</f>
        <v>1064917106020556801</v>
      </c>
      <c r="F2283" s="11"/>
      <c r="G2283" s="11"/>
      <c r="H2283" s="11"/>
      <c r="I2283" s="12">
        <v>2</v>
      </c>
      <c r="J2283" s="12">
        <v>4</v>
      </c>
      <c r="K2283" s="13" t="str">
        <f t="shared" ref="K2283:K2284" si="479">HYPERLINK("https://mobile.twitter.com","Twitter Lite")</f>
        <v>Twitter Lite</v>
      </c>
      <c r="L2283" s="12">
        <v>1658</v>
      </c>
      <c r="M2283" s="12">
        <v>1492</v>
      </c>
      <c r="N2283" s="12">
        <v>19</v>
      </c>
      <c r="O2283" s="15"/>
      <c r="P2283" s="6">
        <v>41444.475555555553</v>
      </c>
      <c r="Q2283" s="16" t="s">
        <v>8237</v>
      </c>
      <c r="R2283" s="17" t="s">
        <v>8238</v>
      </c>
      <c r="S2283" s="14" t="s">
        <v>8239</v>
      </c>
      <c r="T2283" s="11"/>
      <c r="U2283" s="10" t="str">
        <f>HYPERLINK("https://pbs.twimg.com/profile_images/878733520180359169/ITjc5Mra.jpg","View")</f>
        <v>View</v>
      </c>
    </row>
    <row r="2284" spans="1:21" ht="30.6">
      <c r="A2284" s="6">
        <v>43424.349166666667</v>
      </c>
      <c r="B2284" s="7" t="str">
        <f>HYPERLINK("https://twitter.com/CarrascoMarimar","@CarrascoMarimar")</f>
        <v>@CarrascoMarimar</v>
      </c>
      <c r="C2284" s="8" t="s">
        <v>8240</v>
      </c>
      <c r="D2284" s="9" t="s">
        <v>8241</v>
      </c>
      <c r="E2284" s="10" t="str">
        <f>HYPERLINK("https://twitter.com/CarrascoMarimar/status/1064916983806943232","1064916983806943232")</f>
        <v>1064916983806943232</v>
      </c>
      <c r="F2284" s="14" t="s">
        <v>2122</v>
      </c>
      <c r="G2284" s="11"/>
      <c r="H2284" s="11"/>
      <c r="I2284" s="12">
        <v>36</v>
      </c>
      <c r="J2284" s="12">
        <v>32</v>
      </c>
      <c r="K2284" s="13" t="str">
        <f t="shared" si="479"/>
        <v>Twitter Lite</v>
      </c>
      <c r="L2284" s="12">
        <v>1664</v>
      </c>
      <c r="M2284" s="12">
        <v>1533</v>
      </c>
      <c r="N2284" s="12">
        <v>2</v>
      </c>
      <c r="O2284" s="15"/>
      <c r="P2284" s="6">
        <v>41851.162442129629</v>
      </c>
      <c r="Q2284" s="11"/>
      <c r="R2284" s="17" t="s">
        <v>8242</v>
      </c>
      <c r="S2284" s="11"/>
      <c r="T2284" s="11"/>
      <c r="U2284" s="10" t="str">
        <f>HYPERLINK("https://pbs.twimg.com/profile_images/1043639838963064832/mbJVA45m.jpg","View")</f>
        <v>View</v>
      </c>
    </row>
    <row r="2285" spans="1:21" ht="20.399999999999999">
      <c r="A2285" s="6">
        <v>43424.343958333338</v>
      </c>
      <c r="B2285" s="7" t="str">
        <f>HYPERLINK("https://twitter.com/BotChus","@BotChus")</f>
        <v>@BotChus</v>
      </c>
      <c r="C2285" s="8" t="s">
        <v>2866</v>
      </c>
      <c r="D2285" s="9" t="s">
        <v>8243</v>
      </c>
      <c r="E2285" s="10" t="str">
        <f>HYPERLINK("https://twitter.com/BotChus/status/1064915096126803968","1064915096126803968")</f>
        <v>1064915096126803968</v>
      </c>
      <c r="F2285" s="11"/>
      <c r="G2285" s="11"/>
      <c r="H2285" s="11"/>
      <c r="I2285" s="12">
        <v>0</v>
      </c>
      <c r="J2285" s="12">
        <v>0</v>
      </c>
      <c r="K2285" s="13" t="str">
        <f>HYPERLINK("https://cheapbotsdonequick.com","Cheap Bots, Done Quick!")</f>
        <v>Cheap Bots, Done Quick!</v>
      </c>
      <c r="L2285" s="12">
        <v>28</v>
      </c>
      <c r="M2285" s="12">
        <v>0</v>
      </c>
      <c r="N2285" s="12">
        <v>0</v>
      </c>
      <c r="O2285" s="15"/>
      <c r="P2285" s="6">
        <v>42607.118842592594</v>
      </c>
      <c r="Q2285" s="16" t="s">
        <v>2870</v>
      </c>
      <c r="R2285" s="19"/>
      <c r="S2285" s="11"/>
      <c r="T2285" s="11"/>
      <c r="U2285" s="10" t="str">
        <f>HYPERLINK("https://pbs.twimg.com/profile_images/790326377140674560/gqBslm0g.jpg","View")</f>
        <v>View</v>
      </c>
    </row>
    <row r="2286" spans="1:21" ht="20.399999999999999">
      <c r="A2286" s="6">
        <v>43424.343958333338</v>
      </c>
      <c r="B2286" s="7" t="str">
        <f>HYPERLINK("https://twitter.com/Darwin_Encina","@Darwin_Encina")</f>
        <v>@Darwin_Encina</v>
      </c>
      <c r="C2286" s="8" t="s">
        <v>8244</v>
      </c>
      <c r="D2286" s="9" t="s">
        <v>7807</v>
      </c>
      <c r="E2286" s="10" t="str">
        <f>HYPERLINK("https://twitter.com/Darwin_Encina/status/1064915095174692867","1064915095174692867")</f>
        <v>1064915095174692867</v>
      </c>
      <c r="F2286" s="14" t="s">
        <v>7808</v>
      </c>
      <c r="G2286" s="11"/>
      <c r="H2286" s="11"/>
      <c r="I2286" s="12">
        <v>0</v>
      </c>
      <c r="J2286" s="12">
        <v>0</v>
      </c>
      <c r="K2286" s="13" t="str">
        <f>HYPERLINK("http://twitter.com","Twitter Web Client")</f>
        <v>Twitter Web Client</v>
      </c>
      <c r="L2286" s="12">
        <v>1470</v>
      </c>
      <c r="M2286" s="12">
        <v>1414</v>
      </c>
      <c r="N2286" s="12">
        <v>13</v>
      </c>
      <c r="O2286" s="15"/>
      <c r="P2286" s="6">
        <v>41602.539548611108</v>
      </c>
      <c r="Q2286" s="11"/>
      <c r="R2286" s="19"/>
      <c r="S2286" s="11"/>
      <c r="T2286" s="11"/>
      <c r="U2286" s="10" t="str">
        <f>HYPERLINK("https://pbs.twimg.com/profile_images/851185111450124293/kSP1T9lK.jpg","View")</f>
        <v>View</v>
      </c>
    </row>
    <row r="2287" spans="1:21" ht="30.6">
      <c r="A2287" s="6">
        <v>43424.343634259261</v>
      </c>
      <c r="B2287" s="7" t="str">
        <f>HYPERLINK("https://twitter.com/JoseluDiaz7","@JoseluDiaz7")</f>
        <v>@JoseluDiaz7</v>
      </c>
      <c r="C2287" s="8" t="s">
        <v>8245</v>
      </c>
      <c r="D2287" s="9" t="s">
        <v>8246</v>
      </c>
      <c r="E2287" s="10" t="str">
        <f>HYPERLINK("https://twitter.com/JoseluDiaz7/status/1064914977386045440","1064914977386045440")</f>
        <v>1064914977386045440</v>
      </c>
      <c r="F2287" s="14" t="s">
        <v>3686</v>
      </c>
      <c r="G2287" s="11"/>
      <c r="H2287" s="11"/>
      <c r="I2287" s="12">
        <v>0</v>
      </c>
      <c r="J2287" s="12">
        <v>0</v>
      </c>
      <c r="K2287" s="13" t="str">
        <f>HYPERLINK("http://twitter.com/download/iphone","Twitter for iPhone")</f>
        <v>Twitter for iPhone</v>
      </c>
      <c r="L2287" s="12">
        <v>175</v>
      </c>
      <c r="M2287" s="12">
        <v>92</v>
      </c>
      <c r="N2287" s="12">
        <v>1</v>
      </c>
      <c r="O2287" s="15"/>
      <c r="P2287" s="6">
        <v>42143.455960648149</v>
      </c>
      <c r="Q2287" s="11"/>
      <c r="R2287" s="17" t="s">
        <v>8247</v>
      </c>
      <c r="S2287" s="11"/>
      <c r="T2287" s="11"/>
      <c r="U2287" s="10" t="str">
        <f>HYPERLINK("https://pbs.twimg.com/profile_images/1050757479745933313/-MEWcH-E.jpg","View")</f>
        <v>View</v>
      </c>
    </row>
    <row r="2288" spans="1:21" ht="13.2">
      <c r="A2288" s="6">
        <v>43424.340011574073</v>
      </c>
      <c r="B2288" s="7" t="str">
        <f>HYPERLINK("https://twitter.com/Castrolocojones","@Castrolocojones")</f>
        <v>@Castrolocojones</v>
      </c>
      <c r="C2288" s="8" t="s">
        <v>8248</v>
      </c>
      <c r="D2288" s="9" t="s">
        <v>6720</v>
      </c>
      <c r="E2288" s="10" t="str">
        <f>HYPERLINK("https://twitter.com/Castrolocojones/status/1064913664980000768","1064913664980000768")</f>
        <v>1064913664980000768</v>
      </c>
      <c r="F2288" s="14" t="s">
        <v>6721</v>
      </c>
      <c r="G2288" s="11"/>
      <c r="H2288" s="11"/>
      <c r="I2288" s="12">
        <v>0</v>
      </c>
      <c r="J2288" s="12">
        <v>0</v>
      </c>
      <c r="K2288" s="13" t="str">
        <f>HYPERLINK("https://www.google.com/","Google")</f>
        <v>Google</v>
      </c>
      <c r="L2288" s="12">
        <v>1</v>
      </c>
      <c r="M2288" s="12">
        <v>44</v>
      </c>
      <c r="N2288" s="12">
        <v>2</v>
      </c>
      <c r="O2288" s="15"/>
      <c r="P2288" s="6">
        <v>41397.596701388888</v>
      </c>
      <c r="Q2288" s="16" t="s">
        <v>8249</v>
      </c>
      <c r="R2288" s="19"/>
      <c r="S2288" s="11"/>
      <c r="T2288" s="11"/>
      <c r="U2288" s="10" t="str">
        <f>HYPERLINK("https://pbs.twimg.com/profile_images/1003810400528367616/ZY_L4Nyq.jpg","View")</f>
        <v>View</v>
      </c>
    </row>
    <row r="2289" spans="1:21" ht="20.399999999999999">
      <c r="A2289" s="6">
        <v>43424.338761574079</v>
      </c>
      <c r="B2289" s="7" t="str">
        <f>HYPERLINK("https://twitter.com/caencomonueces","@caencomonueces")</f>
        <v>@caencomonueces</v>
      </c>
      <c r="C2289" s="8" t="s">
        <v>3983</v>
      </c>
      <c r="D2289" s="9" t="s">
        <v>7848</v>
      </c>
      <c r="E2289" s="10" t="str">
        <f>HYPERLINK("https://twitter.com/caencomonueces/status/1064913213517631488","1064913213517631488")</f>
        <v>1064913213517631488</v>
      </c>
      <c r="F2289" s="14" t="s">
        <v>2122</v>
      </c>
      <c r="G2289" s="11"/>
      <c r="H2289" s="11"/>
      <c r="I2289" s="12">
        <v>0</v>
      </c>
      <c r="J2289" s="12">
        <v>0</v>
      </c>
      <c r="K2289" s="13" t="str">
        <f>HYPERLINK("http://twitter.com/download/android","Twitter for Android")</f>
        <v>Twitter for Android</v>
      </c>
      <c r="L2289" s="12">
        <v>629</v>
      </c>
      <c r="M2289" s="12">
        <v>1153</v>
      </c>
      <c r="N2289" s="12">
        <v>3</v>
      </c>
      <c r="O2289" s="15"/>
      <c r="P2289" s="6">
        <v>41242.426539351851</v>
      </c>
      <c r="Q2289" s="16" t="s">
        <v>27</v>
      </c>
      <c r="R2289" s="17" t="s">
        <v>3986</v>
      </c>
      <c r="S2289" s="11"/>
      <c r="T2289" s="11"/>
      <c r="U2289" s="10" t="str">
        <f>HYPERLINK("https://pbs.twimg.com/profile_images/802542076420378628/S_52YFJA.jpg","View")</f>
        <v>View</v>
      </c>
    </row>
    <row r="2290" spans="1:21" ht="30.6">
      <c r="A2290" s="6">
        <v>43424.336817129632</v>
      </c>
      <c r="B2290" s="7" t="str">
        <f>HYPERLINK("https://twitter.com/RetogenesC","@RetogenesC")</f>
        <v>@RetogenesC</v>
      </c>
      <c r="C2290" s="8" t="s">
        <v>6597</v>
      </c>
      <c r="D2290" s="9" t="s">
        <v>8250</v>
      </c>
      <c r="E2290" s="10" t="str">
        <f>HYPERLINK("https://twitter.com/RetogenesC/status/1064912506886459394","1064912506886459394")</f>
        <v>1064912506886459394</v>
      </c>
      <c r="F2290" s="14" t="s">
        <v>2122</v>
      </c>
      <c r="G2290" s="11"/>
      <c r="H2290" s="11"/>
      <c r="I2290" s="12">
        <v>0</v>
      </c>
      <c r="J2290" s="12">
        <v>0</v>
      </c>
      <c r="K2290" s="13" t="str">
        <f t="shared" ref="K2290:K2291" si="480">HYPERLINK("http://twitter.com","Twitter Web Client")</f>
        <v>Twitter Web Client</v>
      </c>
      <c r="L2290" s="12">
        <v>505</v>
      </c>
      <c r="M2290" s="12">
        <v>785</v>
      </c>
      <c r="N2290" s="12">
        <v>1</v>
      </c>
      <c r="O2290" s="15"/>
      <c r="P2290" s="6">
        <v>43402.578657407408</v>
      </c>
      <c r="Q2290" s="16" t="s">
        <v>6600</v>
      </c>
      <c r="R2290" s="17" t="s">
        <v>6601</v>
      </c>
      <c r="S2290" s="11"/>
      <c r="T2290" s="11"/>
      <c r="U2290" s="10" t="str">
        <f>HYPERLINK("https://pbs.twimg.com/profile_images/1057387412169674753/70xRfk8A.jpg","View")</f>
        <v>View</v>
      </c>
    </row>
    <row r="2291" spans="1:21" ht="30.6">
      <c r="A2291" s="6">
        <v>43424.336377314816</v>
      </c>
      <c r="B2291" s="7" t="str">
        <f>HYPERLINK("https://twitter.com/PeakyBlinders9","@PeakyBlinders9")</f>
        <v>@PeakyBlinders9</v>
      </c>
      <c r="C2291" s="8" t="s">
        <v>8251</v>
      </c>
      <c r="D2291" s="9" t="s">
        <v>8252</v>
      </c>
      <c r="E2291" s="10" t="str">
        <f>HYPERLINK("https://twitter.com/PeakyBlinders9/status/1064912345900744704","1064912345900744704")</f>
        <v>1064912345900744704</v>
      </c>
      <c r="F2291" s="11"/>
      <c r="G2291" s="11"/>
      <c r="H2291" s="11"/>
      <c r="I2291" s="12">
        <v>0</v>
      </c>
      <c r="J2291" s="12">
        <v>0</v>
      </c>
      <c r="K2291" s="13" t="str">
        <f t="shared" si="480"/>
        <v>Twitter Web Client</v>
      </c>
      <c r="L2291" s="12">
        <v>89</v>
      </c>
      <c r="M2291" s="12">
        <v>23</v>
      </c>
      <c r="N2291" s="12">
        <v>3</v>
      </c>
      <c r="O2291" s="15"/>
      <c r="P2291" s="6">
        <v>41220.484317129631</v>
      </c>
      <c r="Q2291" s="16" t="s">
        <v>87</v>
      </c>
      <c r="R2291" s="19"/>
      <c r="S2291" s="11"/>
      <c r="T2291" s="11"/>
      <c r="U2291" s="10" t="str">
        <f>HYPERLINK("https://pbs.twimg.com/profile_images/800663311138299904/USC_f1-z.jpg","View")</f>
        <v>View</v>
      </c>
    </row>
    <row r="2292" spans="1:21" ht="30.6">
      <c r="A2292" s="6">
        <v>43424.335011574076</v>
      </c>
      <c r="B2292" s="7" t="str">
        <f>HYPERLINK("https://twitter.com/MeleroTop","@MeleroTop")</f>
        <v>@MeleroTop</v>
      </c>
      <c r="C2292" s="8" t="s">
        <v>5215</v>
      </c>
      <c r="D2292" s="9" t="s">
        <v>5216</v>
      </c>
      <c r="E2292" s="10" t="str">
        <f>HYPERLINK("https://twitter.com/MeleroTop/status/1064911852445020160","1064911852445020160")</f>
        <v>1064911852445020160</v>
      </c>
      <c r="F2292" s="11"/>
      <c r="G2292" s="11"/>
      <c r="H2292" s="11"/>
      <c r="I2292" s="12">
        <v>0</v>
      </c>
      <c r="J2292" s="12">
        <v>2</v>
      </c>
      <c r="K2292" s="13" t="str">
        <f>HYPERLINK("http://twitter.com/download/android","Twitter for Android")</f>
        <v>Twitter for Android</v>
      </c>
      <c r="L2292" s="12">
        <v>527</v>
      </c>
      <c r="M2292" s="12">
        <v>534</v>
      </c>
      <c r="N2292" s="12">
        <v>5</v>
      </c>
      <c r="O2292" s="15"/>
      <c r="P2292" s="6">
        <v>40696.828472222223</v>
      </c>
      <c r="Q2292" s="16" t="s">
        <v>5217</v>
      </c>
      <c r="R2292" s="17" t="s">
        <v>5218</v>
      </c>
      <c r="S2292" s="11"/>
      <c r="T2292" s="11"/>
      <c r="U2292" s="10" t="str">
        <f>HYPERLINK("https://pbs.twimg.com/profile_images/1029153506593304576/84R5S0JH.jpg","View")</f>
        <v>View</v>
      </c>
    </row>
    <row r="2293" spans="1:21" ht="40.799999999999997">
      <c r="A2293" s="6">
        <v>43424.334988425922</v>
      </c>
      <c r="B2293" s="7" t="str">
        <f>HYPERLINK("https://twitter.com/Antonio_Reolid","@Antonio_Reolid")</f>
        <v>@Antonio_Reolid</v>
      </c>
      <c r="C2293" s="8" t="s">
        <v>5122</v>
      </c>
      <c r="D2293" s="21" t="s">
        <v>8253</v>
      </c>
      <c r="E2293" s="10" t="str">
        <f>HYPERLINK("https://twitter.com/Antonio_Reolid/status/1064911844257611776","1064911844257611776")</f>
        <v>1064911844257611776</v>
      </c>
      <c r="F2293" s="14" t="s">
        <v>2122</v>
      </c>
      <c r="G2293" s="11"/>
      <c r="H2293" s="11"/>
      <c r="I2293" s="12">
        <v>0</v>
      </c>
      <c r="J2293" s="12">
        <v>0</v>
      </c>
      <c r="K2293" s="13" t="str">
        <f>HYPERLINK("http://twitter.com","Twitter Web Client")</f>
        <v>Twitter Web Client</v>
      </c>
      <c r="L2293" s="12">
        <v>744</v>
      </c>
      <c r="M2293" s="12">
        <v>3239</v>
      </c>
      <c r="N2293" s="12">
        <v>1</v>
      </c>
      <c r="O2293" s="15"/>
      <c r="P2293" s="6">
        <v>43326.333773148144</v>
      </c>
      <c r="Q2293" s="16" t="s">
        <v>5128</v>
      </c>
      <c r="R2293" s="17" t="s">
        <v>5129</v>
      </c>
      <c r="S2293" s="11"/>
      <c r="T2293" s="11"/>
      <c r="U2293" s="10" t="str">
        <f>HYPERLINK("https://pbs.twimg.com/profile_images/1029382993788502016/0uQc2anI.jpg","View")</f>
        <v>View</v>
      </c>
    </row>
    <row r="2294" spans="1:21" ht="40.799999999999997">
      <c r="A2294" s="6">
        <v>43424.334988425922</v>
      </c>
      <c r="B2294" s="7" t="str">
        <f>HYPERLINK("https://twitter.com/KevinL1997","@KevinL1997")</f>
        <v>@KevinL1997</v>
      </c>
      <c r="C2294" s="8" t="s">
        <v>6210</v>
      </c>
      <c r="D2294" s="9" t="s">
        <v>8159</v>
      </c>
      <c r="E2294" s="10" t="str">
        <f>HYPERLINK("https://twitter.com/KevinL1997/status/1064911842764627968","1064911842764627968")</f>
        <v>1064911842764627968</v>
      </c>
      <c r="F2294" s="14" t="s">
        <v>8160</v>
      </c>
      <c r="G2294" s="11"/>
      <c r="H2294" s="11"/>
      <c r="I2294" s="12">
        <v>0</v>
      </c>
      <c r="J2294" s="12">
        <v>0</v>
      </c>
      <c r="K2294" s="13" t="str">
        <f>HYPERLINK("https://www.google.com/","Google")</f>
        <v>Google</v>
      </c>
      <c r="L2294" s="12">
        <v>309</v>
      </c>
      <c r="M2294" s="12">
        <v>636</v>
      </c>
      <c r="N2294" s="12">
        <v>18</v>
      </c>
      <c r="O2294" s="15"/>
      <c r="P2294" s="6">
        <v>40799.543182870373</v>
      </c>
      <c r="Q2294" s="16" t="s">
        <v>6213</v>
      </c>
      <c r="R2294" s="17" t="s">
        <v>6214</v>
      </c>
      <c r="S2294" s="14" t="s">
        <v>6215</v>
      </c>
      <c r="T2294" s="11"/>
      <c r="U2294" s="10" t="str">
        <f>HYPERLINK("https://pbs.twimg.com/profile_images/772745494992941056/5GRc0ClW.jpg","View")</f>
        <v>View</v>
      </c>
    </row>
    <row r="2295" spans="1:21" ht="51">
      <c r="A2295" s="6">
        <v>43424.334745370375</v>
      </c>
      <c r="B2295" s="7" t="str">
        <f>HYPERLINK("https://twitter.com/AdeSiracusa","@AdeSiracusa")</f>
        <v>@AdeSiracusa</v>
      </c>
      <c r="C2295" s="8" t="s">
        <v>3890</v>
      </c>
      <c r="D2295" s="9" t="s">
        <v>8254</v>
      </c>
      <c r="E2295" s="10" t="str">
        <f>HYPERLINK("https://twitter.com/AdeSiracusa/status/1064911756290596864","1064911756290596864")</f>
        <v>1064911756290596864</v>
      </c>
      <c r="F2295" s="11"/>
      <c r="G2295" s="14" t="s">
        <v>8255</v>
      </c>
      <c r="H2295" s="11"/>
      <c r="I2295" s="12">
        <v>0</v>
      </c>
      <c r="J2295" s="12">
        <v>0</v>
      </c>
      <c r="K2295" s="13" t="str">
        <f>HYPERLINK("http://www.republicosvenezuela.com/","AdeSiracusa")</f>
        <v>AdeSiracusa</v>
      </c>
      <c r="L2295" s="12">
        <v>3920</v>
      </c>
      <c r="M2295" s="12">
        <v>3927</v>
      </c>
      <c r="N2295" s="12">
        <v>12</v>
      </c>
      <c r="O2295" s="15"/>
      <c r="P2295" s="6">
        <v>42958.201388888891</v>
      </c>
      <c r="Q2295" s="16" t="s">
        <v>3893</v>
      </c>
      <c r="R2295" s="17" t="s">
        <v>3894</v>
      </c>
      <c r="S2295" s="11"/>
      <c r="T2295" s="11"/>
      <c r="U2295" s="10" t="str">
        <f>HYPERLINK("https://pbs.twimg.com/profile_images/895978354591105024/x2wNXrPl.jpg","View")</f>
        <v>View</v>
      </c>
    </row>
    <row r="2296" spans="1:21" ht="61.2">
      <c r="A2296" s="6">
        <v>43424.334062499998</v>
      </c>
      <c r="B2296" s="7" t="str">
        <f>HYPERLINK("https://twitter.com/MSPE_CValencia","@MSPE_CValencia")</f>
        <v>@MSPE_CValencia</v>
      </c>
      <c r="C2296" s="8" t="s">
        <v>4688</v>
      </c>
      <c r="D2296" s="9" t="s">
        <v>5220</v>
      </c>
      <c r="E2296" s="10" t="str">
        <f>HYPERLINK("https://twitter.com/MSPE_CValencia/status/1064911510785458176","1064911510785458176")</f>
        <v>1064911510785458176</v>
      </c>
      <c r="F2296" s="11"/>
      <c r="G2296" s="14" t="s">
        <v>5221</v>
      </c>
      <c r="H2296" s="11"/>
      <c r="I2296" s="12">
        <v>5</v>
      </c>
      <c r="J2296" s="12">
        <v>4</v>
      </c>
      <c r="K2296" s="13" t="str">
        <f>HYPERLINK("http://twitter.com/download/android","Twitter for Android")</f>
        <v>Twitter for Android</v>
      </c>
      <c r="L2296" s="12">
        <v>96</v>
      </c>
      <c r="M2296" s="12">
        <v>82</v>
      </c>
      <c r="N2296" s="12">
        <v>0</v>
      </c>
      <c r="O2296" s="15"/>
      <c r="P2296" s="6">
        <v>43286.259652777779</v>
      </c>
      <c r="Q2296" s="16" t="s">
        <v>2839</v>
      </c>
      <c r="R2296" s="17" t="s">
        <v>4693</v>
      </c>
      <c r="S2296" s="14" t="s">
        <v>4694</v>
      </c>
      <c r="T2296" s="11"/>
      <c r="U2296" s="10" t="str">
        <f>HYPERLINK("https://pbs.twimg.com/profile_images/1037964847441477632/X3aiAaXi.jpg","View")</f>
        <v>View</v>
      </c>
    </row>
    <row r="2297" spans="1:21" ht="30.6">
      <c r="A2297" s="6">
        <v>43424.333923611106</v>
      </c>
      <c r="B2297" s="7" t="str">
        <f>HYPERLINK("https://twitter.com/eldebatedehoy","@eldebatedehoy")</f>
        <v>@eldebatedehoy</v>
      </c>
      <c r="C2297" s="8" t="s">
        <v>6040</v>
      </c>
      <c r="D2297" s="9" t="s">
        <v>8256</v>
      </c>
      <c r="E2297" s="10" t="str">
        <f>HYPERLINK("https://twitter.com/eldebatedehoy/status/1064911459220668416","1064911459220668416")</f>
        <v>1064911459220668416</v>
      </c>
      <c r="F2297" s="11"/>
      <c r="G2297" s="14" t="s">
        <v>8257</v>
      </c>
      <c r="H2297" s="11"/>
      <c r="I2297" s="12">
        <v>0</v>
      </c>
      <c r="J2297" s="12">
        <v>0</v>
      </c>
      <c r="K2297" s="13" t="str">
        <f>HYPERLINK("https://www.hootsuite.com","Hootsuite Inc.")</f>
        <v>Hootsuite Inc.</v>
      </c>
      <c r="L2297" s="12">
        <v>1078</v>
      </c>
      <c r="M2297" s="12">
        <v>293</v>
      </c>
      <c r="N2297" s="12">
        <v>31</v>
      </c>
      <c r="O2297" s="15"/>
      <c r="P2297" s="6">
        <v>42509.331273148149</v>
      </c>
      <c r="Q2297" s="16" t="s">
        <v>38</v>
      </c>
      <c r="R2297" s="17" t="s">
        <v>6041</v>
      </c>
      <c r="S2297" s="14" t="s">
        <v>6042</v>
      </c>
      <c r="T2297" s="11"/>
      <c r="U2297" s="10" t="str">
        <f>HYPERLINK("https://pbs.twimg.com/profile_images/1053566750313381889/M_8SQUI5.jpg","View")</f>
        <v>View</v>
      </c>
    </row>
    <row r="2298" spans="1:21" ht="40.799999999999997">
      <c r="A2298" s="6">
        <v>43424.333229166667</v>
      </c>
      <c r="B2298" s="7" t="str">
        <f>HYPERLINK("https://twitter.com/GRamonr","@GRamonr")</f>
        <v>@GRamonr</v>
      </c>
      <c r="C2298" s="8" t="s">
        <v>8258</v>
      </c>
      <c r="D2298" s="9" t="s">
        <v>8259</v>
      </c>
      <c r="E2298" s="10" t="str">
        <f>HYPERLINK("https://twitter.com/GRamonr/status/1064911206857752576","1064911206857752576")</f>
        <v>1064911206857752576</v>
      </c>
      <c r="F2298" s="11"/>
      <c r="G2298" s="11"/>
      <c r="H2298" s="11"/>
      <c r="I2298" s="12">
        <v>0</v>
      </c>
      <c r="J2298" s="12">
        <v>0</v>
      </c>
      <c r="K2298" s="13" t="str">
        <f>HYPERLINK("http://twitter.com","Twitter Web Client")</f>
        <v>Twitter Web Client</v>
      </c>
      <c r="L2298" s="12">
        <v>3</v>
      </c>
      <c r="M2298" s="12">
        <v>19</v>
      </c>
      <c r="N2298" s="12">
        <v>0</v>
      </c>
      <c r="O2298" s="15"/>
      <c r="P2298" s="6">
        <v>41648.214479166665</v>
      </c>
      <c r="Q2298" s="11"/>
      <c r="R2298" s="19"/>
      <c r="S2298" s="11"/>
      <c r="T2298" s="11"/>
      <c r="U2298" s="18" t="s">
        <v>168</v>
      </c>
    </row>
    <row r="2299" spans="1:21" ht="61.2">
      <c r="A2299" s="6">
        <v>43424.332141203704</v>
      </c>
      <c r="B2299" s="7" t="str">
        <f>HYPERLINK("https://twitter.com/PBMarbeMalaga","@PBMarbeMalaga")</f>
        <v>@PBMarbeMalaga</v>
      </c>
      <c r="C2299" s="8" t="s">
        <v>3898</v>
      </c>
      <c r="D2299" s="9" t="s">
        <v>8260</v>
      </c>
      <c r="E2299" s="10" t="str">
        <f>HYPERLINK("https://twitter.com/PBMarbeMalaga/status/1064910812287037440","1064910812287037440")</f>
        <v>1064910812287037440</v>
      </c>
      <c r="F2299" s="11"/>
      <c r="G2299" s="14" t="s">
        <v>8261</v>
      </c>
      <c r="H2299" s="11"/>
      <c r="I2299" s="12">
        <v>0</v>
      </c>
      <c r="J2299" s="12">
        <v>0</v>
      </c>
      <c r="K2299" s="13" t="str">
        <f>HYPERLINK("https://javitang.ddns.net","PBMarbeMalaga")</f>
        <v>PBMarbeMalaga</v>
      </c>
      <c r="L2299" s="12">
        <v>1222</v>
      </c>
      <c r="M2299" s="12">
        <v>1245</v>
      </c>
      <c r="N2299" s="12">
        <v>2</v>
      </c>
      <c r="O2299" s="15"/>
      <c r="P2299" s="6">
        <v>43149.439074074078</v>
      </c>
      <c r="Q2299" s="16" t="s">
        <v>3899</v>
      </c>
      <c r="R2299" s="17" t="s">
        <v>3900</v>
      </c>
      <c r="S2299" s="11"/>
      <c r="T2299" s="11"/>
      <c r="U2299" s="10" t="str">
        <f>HYPERLINK("https://pbs.twimg.com/profile_images/965296691145531392/sAFnfUu2.jpg","View")</f>
        <v>View</v>
      </c>
    </row>
    <row r="2300" spans="1:21" ht="51">
      <c r="A2300" s="6">
        <v>43424.331886574073</v>
      </c>
      <c r="B2300" s="7" t="str">
        <f>HYPERLINK("https://twitter.com/AdeSiracusa","@AdeSiracusa")</f>
        <v>@AdeSiracusa</v>
      </c>
      <c r="C2300" s="8" t="s">
        <v>3890</v>
      </c>
      <c r="D2300" s="9" t="s">
        <v>8262</v>
      </c>
      <c r="E2300" s="10" t="str">
        <f>HYPERLINK("https://twitter.com/AdeSiracusa/status/1064910722386284544","1064910722386284544")</f>
        <v>1064910722386284544</v>
      </c>
      <c r="F2300" s="14" t="s">
        <v>8263</v>
      </c>
      <c r="G2300" s="11"/>
      <c r="H2300" s="11"/>
      <c r="I2300" s="12">
        <v>0</v>
      </c>
      <c r="J2300" s="12">
        <v>0</v>
      </c>
      <c r="K2300" s="13" t="str">
        <f>HYPERLINK("http://www.republicosvenezuela.com/","AdeSiracusa")</f>
        <v>AdeSiracusa</v>
      </c>
      <c r="L2300" s="12">
        <v>3920</v>
      </c>
      <c r="M2300" s="12">
        <v>3927</v>
      </c>
      <c r="N2300" s="12">
        <v>12</v>
      </c>
      <c r="O2300" s="15"/>
      <c r="P2300" s="6">
        <v>42958.201388888891</v>
      </c>
      <c r="Q2300" s="16" t="s">
        <v>3893</v>
      </c>
      <c r="R2300" s="17" t="s">
        <v>3894</v>
      </c>
      <c r="S2300" s="11"/>
      <c r="T2300" s="11"/>
      <c r="U2300" s="10" t="str">
        <f>HYPERLINK("https://pbs.twimg.com/profile_images/895978354591105024/x2wNXrPl.jpg","View")</f>
        <v>View</v>
      </c>
    </row>
    <row r="2301" spans="1:21" ht="30.6">
      <c r="A2301" s="6">
        <v>43424.330601851849</v>
      </c>
      <c r="B2301" s="7" t="str">
        <f>HYPERLINK("https://twitter.com/JuanAlbyte","@JuanAlbyte")</f>
        <v>@JuanAlbyte</v>
      </c>
      <c r="C2301" s="8" t="s">
        <v>8264</v>
      </c>
      <c r="D2301" s="9" t="s">
        <v>8265</v>
      </c>
      <c r="E2301" s="10" t="str">
        <f>HYPERLINK("https://twitter.com/JuanAlbyte/status/1064910256323682305","1064910256323682305")</f>
        <v>1064910256323682305</v>
      </c>
      <c r="F2301" s="14" t="s">
        <v>7385</v>
      </c>
      <c r="G2301" s="11"/>
      <c r="H2301" s="11"/>
      <c r="I2301" s="12">
        <v>1</v>
      </c>
      <c r="J2301" s="12">
        <v>2</v>
      </c>
      <c r="K2301" s="13" t="str">
        <f>HYPERLINK("http://twitter.com/download/iphone","Twitter for iPhone")</f>
        <v>Twitter for iPhone</v>
      </c>
      <c r="L2301" s="12">
        <v>1971</v>
      </c>
      <c r="M2301" s="12">
        <v>3784</v>
      </c>
      <c r="N2301" s="12">
        <v>20</v>
      </c>
      <c r="O2301" s="15"/>
      <c r="P2301" s="6">
        <v>41357.365717592591</v>
      </c>
      <c r="Q2301" s="16" t="s">
        <v>493</v>
      </c>
      <c r="R2301" s="17" t="s">
        <v>8266</v>
      </c>
      <c r="S2301" s="11"/>
      <c r="T2301" s="11"/>
      <c r="U2301" s="10" t="str">
        <f>HYPERLINK("https://pbs.twimg.com/profile_images/858400577704689664/HrP_VkXY.jpg","View")</f>
        <v>View</v>
      </c>
    </row>
    <row r="2302" spans="1:21" ht="40.799999999999997">
      <c r="A2302" s="6">
        <v>43424.330543981487</v>
      </c>
      <c r="B2302" s="7" t="str">
        <f>HYPERLINK("https://twitter.com/brubeaker","@brubeaker")</f>
        <v>@brubeaker</v>
      </c>
      <c r="C2302" s="8" t="s">
        <v>7369</v>
      </c>
      <c r="D2302" s="9" t="s">
        <v>8267</v>
      </c>
      <c r="E2302" s="10" t="str">
        <f>HYPERLINK("https://twitter.com/brubeaker/status/1064910232881635328","1064910232881635328")</f>
        <v>1064910232881635328</v>
      </c>
      <c r="F2302" s="11"/>
      <c r="G2302" s="11"/>
      <c r="H2302" s="11"/>
      <c r="I2302" s="12">
        <v>0</v>
      </c>
      <c r="J2302" s="12">
        <v>0</v>
      </c>
      <c r="K2302" s="13" t="str">
        <f>HYPERLINK("http://twitter.com","Twitter Web Client")</f>
        <v>Twitter Web Client</v>
      </c>
      <c r="L2302" s="12">
        <v>39</v>
      </c>
      <c r="M2302" s="12">
        <v>163</v>
      </c>
      <c r="N2302" s="12">
        <v>2</v>
      </c>
      <c r="O2302" s="15"/>
      <c r="P2302" s="6">
        <v>41779.961550925924</v>
      </c>
      <c r="Q2302" s="11"/>
      <c r="R2302" s="17" t="s">
        <v>7372</v>
      </c>
      <c r="S2302" s="11"/>
      <c r="T2302" s="11"/>
      <c r="U2302" s="10" t="str">
        <f>HYPERLINK("https://pbs.twimg.com/profile_images/1036025081179332608/VWYH9QdS.jpg","View")</f>
        <v>View</v>
      </c>
    </row>
    <row r="2303" spans="1:21" ht="51">
      <c r="A2303" s="6">
        <v>43424.330439814818</v>
      </c>
      <c r="B2303" s="7" t="str">
        <f>HYPERLINK("https://twitter.com/Elias37042","@Elias37042")</f>
        <v>@Elias37042</v>
      </c>
      <c r="C2303" s="8" t="s">
        <v>8268</v>
      </c>
      <c r="D2303" s="9" t="s">
        <v>8269</v>
      </c>
      <c r="E2303" s="10" t="str">
        <f>HYPERLINK("https://twitter.com/Elias37042/status/1064910195904647168","1064910195904647168")</f>
        <v>1064910195904647168</v>
      </c>
      <c r="F2303" s="11"/>
      <c r="G2303" s="11"/>
      <c r="H2303" s="11"/>
      <c r="I2303" s="12">
        <v>1</v>
      </c>
      <c r="J2303" s="12">
        <v>2</v>
      </c>
      <c r="K2303" s="13" t="str">
        <f>HYPERLINK("http://twitter.com/download/android","Twitter for Android")</f>
        <v>Twitter for Android</v>
      </c>
      <c r="L2303" s="12">
        <v>502</v>
      </c>
      <c r="M2303" s="12">
        <v>287</v>
      </c>
      <c r="N2303" s="12">
        <v>9</v>
      </c>
      <c r="O2303" s="15"/>
      <c r="P2303" s="6">
        <v>42222.612002314811</v>
      </c>
      <c r="Q2303" s="16" t="s">
        <v>8270</v>
      </c>
      <c r="R2303" s="17" t="s">
        <v>8271</v>
      </c>
      <c r="S2303" s="14" t="s">
        <v>8272</v>
      </c>
      <c r="T2303" s="11"/>
      <c r="U2303" s="10" t="str">
        <f>HYPERLINK("https://pbs.twimg.com/profile_images/733027172974252033/0n5XZTYw.jpg","View")</f>
        <v>View</v>
      </c>
    </row>
    <row r="2304" spans="1:21" ht="30.6">
      <c r="A2304" s="6">
        <v>43424.330150462964</v>
      </c>
      <c r="B2304" s="7" t="str">
        <f>HYPERLINK("https://twitter.com/ecdlcsoft","@ecdlcsoft")</f>
        <v>@ecdlcsoft</v>
      </c>
      <c r="C2304" s="8" t="s">
        <v>8273</v>
      </c>
      <c r="D2304" s="9" t="s">
        <v>7883</v>
      </c>
      <c r="E2304" s="10" t="str">
        <f>HYPERLINK("https://twitter.com/ecdlcsoft/status/1064910092200488960","1064910092200488960")</f>
        <v>1064910092200488960</v>
      </c>
      <c r="F2304" s="14" t="s">
        <v>8274</v>
      </c>
      <c r="G2304" s="11"/>
      <c r="H2304" s="11"/>
      <c r="I2304" s="12">
        <v>0</v>
      </c>
      <c r="J2304" s="12">
        <v>0</v>
      </c>
      <c r="K2304" s="13" t="str">
        <f>HYPERLINK("http://twitter.com","Twitter Web Client")</f>
        <v>Twitter Web Client</v>
      </c>
      <c r="L2304" s="12">
        <v>1034</v>
      </c>
      <c r="M2304" s="12">
        <v>2421</v>
      </c>
      <c r="N2304" s="12">
        <v>96</v>
      </c>
      <c r="O2304" s="15"/>
      <c r="P2304" s="6">
        <v>42319.398900462962</v>
      </c>
      <c r="Q2304" s="16" t="s">
        <v>8275</v>
      </c>
      <c r="R2304" s="17" t="s">
        <v>8276</v>
      </c>
      <c r="S2304" s="11"/>
      <c r="T2304" s="11"/>
      <c r="U2304" s="10" t="str">
        <f>HYPERLINK("https://pbs.twimg.com/profile_images/1057795036283314176/Hpfmu9RH.jpg","View")</f>
        <v>View</v>
      </c>
    </row>
    <row r="2305" spans="1:21" ht="40.799999999999997">
      <c r="A2305" s="6">
        <v>43424.329594907409</v>
      </c>
      <c r="B2305" s="7" t="str">
        <f>HYPERLINK("https://twitter.com/elconfidencial","@elconfidencial")</f>
        <v>@elconfidencial</v>
      </c>
      <c r="C2305" s="8" t="s">
        <v>8277</v>
      </c>
      <c r="D2305" s="9" t="s">
        <v>8278</v>
      </c>
      <c r="E2305" s="10" t="str">
        <f>HYPERLINK("https://twitter.com/elconfidencial/status/1064909887904333825","1064909887904333825")</f>
        <v>1064909887904333825</v>
      </c>
      <c r="F2305" s="14" t="s">
        <v>8279</v>
      </c>
      <c r="G2305" s="11"/>
      <c r="H2305" s="11"/>
      <c r="I2305" s="12">
        <v>116</v>
      </c>
      <c r="J2305" s="12">
        <v>211</v>
      </c>
      <c r="K2305" s="13" t="str">
        <f>HYPERLINK("https://about.twitter.com/products/tweetdeck","TweetDeck")</f>
        <v>TweetDeck</v>
      </c>
      <c r="L2305" s="12">
        <v>763074</v>
      </c>
      <c r="M2305" s="12">
        <v>183</v>
      </c>
      <c r="N2305" s="12">
        <v>11090</v>
      </c>
      <c r="O2305" s="18" t="s">
        <v>52</v>
      </c>
      <c r="P2305" s="6">
        <v>39759.093657407408</v>
      </c>
      <c r="Q2305" s="16" t="s">
        <v>8280</v>
      </c>
      <c r="R2305" s="17" t="s">
        <v>8281</v>
      </c>
      <c r="S2305" s="14" t="s">
        <v>1499</v>
      </c>
      <c r="T2305" s="11"/>
      <c r="U2305" s="10" t="str">
        <f>HYPERLINK("https://pbs.twimg.com/profile_images/831498645476356097/TVsVGq4W.jpg","View")</f>
        <v>View</v>
      </c>
    </row>
    <row r="2306" spans="1:21" ht="51">
      <c r="A2306" s="6">
        <v>43424.328599537039</v>
      </c>
      <c r="B2306" s="7" t="str">
        <f>HYPERLINK("https://twitter.com/PBMarbeMalaga","@PBMarbeMalaga")</f>
        <v>@PBMarbeMalaga</v>
      </c>
      <c r="C2306" s="8" t="s">
        <v>3898</v>
      </c>
      <c r="D2306" s="9" t="s">
        <v>8282</v>
      </c>
      <c r="E2306" s="10" t="str">
        <f>HYPERLINK("https://twitter.com/PBMarbeMalaga/status/1064909527219404800","1064909527219404800")</f>
        <v>1064909527219404800</v>
      </c>
      <c r="F2306" s="14" t="s">
        <v>8263</v>
      </c>
      <c r="G2306" s="11"/>
      <c r="H2306" s="11"/>
      <c r="I2306" s="12">
        <v>0</v>
      </c>
      <c r="J2306" s="12">
        <v>0</v>
      </c>
      <c r="K2306" s="13" t="str">
        <f>HYPERLINK("https://javitang.ddns.net","PBMarbeMalaga")</f>
        <v>PBMarbeMalaga</v>
      </c>
      <c r="L2306" s="12">
        <v>1222</v>
      </c>
      <c r="M2306" s="12">
        <v>1245</v>
      </c>
      <c r="N2306" s="12">
        <v>2</v>
      </c>
      <c r="O2306" s="15"/>
      <c r="P2306" s="6">
        <v>43149.439074074078</v>
      </c>
      <c r="Q2306" s="16" t="s">
        <v>3899</v>
      </c>
      <c r="R2306" s="17" t="s">
        <v>3900</v>
      </c>
      <c r="S2306" s="11"/>
      <c r="T2306" s="11"/>
      <c r="U2306" s="10" t="str">
        <f>HYPERLINK("https://pbs.twimg.com/profile_images/965296691145531392/sAFnfUu2.jpg","View")</f>
        <v>View</v>
      </c>
    </row>
    <row r="2307" spans="1:21" ht="30.6">
      <c r="A2307" s="6">
        <v>43424.327303240745</v>
      </c>
      <c r="B2307" s="7" t="str">
        <f>HYPERLINK("https://twitter.com/LaurenArenos","@LaurenArenos")</f>
        <v>@LaurenArenos</v>
      </c>
      <c r="C2307" s="8" t="s">
        <v>8283</v>
      </c>
      <c r="D2307" s="9" t="s">
        <v>8284</v>
      </c>
      <c r="E2307" s="10" t="str">
        <f>HYPERLINK("https://twitter.com/LaurenArenos/status/1064909059164385280","1064909059164385280")</f>
        <v>1064909059164385280</v>
      </c>
      <c r="F2307" s="14" t="s">
        <v>2122</v>
      </c>
      <c r="G2307" s="11"/>
      <c r="H2307" s="11"/>
      <c r="I2307" s="12">
        <v>3</v>
      </c>
      <c r="J2307" s="12">
        <v>2</v>
      </c>
      <c r="K2307" s="13" t="str">
        <f>HYPERLINK("http://twitter.com/download/android","Twitter for Android")</f>
        <v>Twitter for Android</v>
      </c>
      <c r="L2307" s="12">
        <v>844</v>
      </c>
      <c r="M2307" s="12">
        <v>1206</v>
      </c>
      <c r="N2307" s="12">
        <v>0</v>
      </c>
      <c r="O2307" s="15"/>
      <c r="P2307" s="6">
        <v>43268.602326388893</v>
      </c>
      <c r="Q2307" s="11"/>
      <c r="R2307" s="17" t="s">
        <v>8285</v>
      </c>
      <c r="S2307" s="11"/>
      <c r="T2307" s="11"/>
      <c r="U2307" s="10" t="str">
        <f>HYPERLINK("https://pbs.twimg.com/profile_images/1008462268663828480/RBvgbkmL.jpg","View")</f>
        <v>View</v>
      </c>
    </row>
    <row r="2308" spans="1:21" ht="61.2">
      <c r="A2308" s="6">
        <v>43424.326736111107</v>
      </c>
      <c r="B2308" s="7" t="str">
        <f>HYPERLINK("https://twitter.com/Rojillo2018","@Rojillo2018")</f>
        <v>@Rojillo2018</v>
      </c>
      <c r="C2308" s="8" t="s">
        <v>347</v>
      </c>
      <c r="D2308" s="9" t="s">
        <v>5223</v>
      </c>
      <c r="E2308" s="10" t="str">
        <f>HYPERLINK("https://twitter.com/Rojillo2018/status/1064908852620140544","1064908852620140544")</f>
        <v>1064908852620140544</v>
      </c>
      <c r="F2308" s="11"/>
      <c r="G2308" s="14" t="s">
        <v>5224</v>
      </c>
      <c r="H2308" s="11"/>
      <c r="I2308" s="12">
        <v>3</v>
      </c>
      <c r="J2308" s="12">
        <v>1</v>
      </c>
      <c r="K2308" s="13" t="str">
        <f>HYPERLINK("http://twitter.com","Twitter Web Client")</f>
        <v>Twitter Web Client</v>
      </c>
      <c r="L2308" s="12">
        <v>449</v>
      </c>
      <c r="M2308" s="12">
        <v>1034</v>
      </c>
      <c r="N2308" s="12">
        <v>1</v>
      </c>
      <c r="O2308" s="15"/>
      <c r="P2308" s="6">
        <v>43416.25675925926</v>
      </c>
      <c r="Q2308" s="16" t="s">
        <v>352</v>
      </c>
      <c r="R2308" s="17" t="s">
        <v>353</v>
      </c>
      <c r="S2308" s="11"/>
      <c r="T2308" s="11"/>
      <c r="U2308" s="10" t="str">
        <f>HYPERLINK("https://pbs.twimg.com/profile_images/1063905639091642369/tNutwQbh.jpg","View")</f>
        <v>View</v>
      </c>
    </row>
    <row r="2309" spans="1:21" ht="51">
      <c r="A2309" s="6">
        <v>43424.32440972222</v>
      </c>
      <c r="B2309" s="7" t="str">
        <f>HYPERLINK("https://twitter.com/Adrianmaltes61","@Adrianmaltes61")</f>
        <v>@Adrianmaltes61</v>
      </c>
      <c r="C2309" s="8" t="s">
        <v>8286</v>
      </c>
      <c r="D2309" s="9" t="s">
        <v>8287</v>
      </c>
      <c r="E2309" s="10" t="str">
        <f>HYPERLINK("https://twitter.com/Adrianmaltes61/status/1064908010496172033","1064908010496172033")</f>
        <v>1064908010496172033</v>
      </c>
      <c r="F2309" s="14" t="s">
        <v>2122</v>
      </c>
      <c r="G2309" s="11"/>
      <c r="H2309" s="11"/>
      <c r="I2309" s="12">
        <v>0</v>
      </c>
      <c r="J2309" s="12">
        <v>0</v>
      </c>
      <c r="K2309" s="13" t="str">
        <f t="shared" ref="K2309:K2310" si="481">HYPERLINK("http://twitter.com/download/android","Twitter for Android")</f>
        <v>Twitter for Android</v>
      </c>
      <c r="L2309" s="12">
        <v>1575</v>
      </c>
      <c r="M2309" s="12">
        <v>1585</v>
      </c>
      <c r="N2309" s="12">
        <v>5</v>
      </c>
      <c r="O2309" s="15"/>
      <c r="P2309" s="6">
        <v>43064.426481481481</v>
      </c>
      <c r="Q2309" s="11"/>
      <c r="R2309" s="17" t="s">
        <v>8288</v>
      </c>
      <c r="S2309" s="11"/>
      <c r="T2309" s="11"/>
      <c r="U2309" s="10" t="str">
        <f>HYPERLINK("https://pbs.twimg.com/profile_images/1064909553232486400/qrYknXxF.jpg","View")</f>
        <v>View</v>
      </c>
    </row>
    <row r="2310" spans="1:21" ht="51">
      <c r="A2310" s="6">
        <v>43424.324224537035</v>
      </c>
      <c r="B2310" s="7" t="str">
        <f>HYPERLINK("https://twitter.com/Prof_Chaos_____","@Prof_Chaos_____")</f>
        <v>@Prof_Chaos_____</v>
      </c>
      <c r="C2310" s="8" t="s">
        <v>5226</v>
      </c>
      <c r="D2310" s="9" t="s">
        <v>5227</v>
      </c>
      <c r="E2310" s="10" t="str">
        <f>HYPERLINK("https://twitter.com/Prof_Chaos_____/status/1064907945392173057","1064907945392173057")</f>
        <v>1064907945392173057</v>
      </c>
      <c r="F2310" s="11"/>
      <c r="G2310" s="11"/>
      <c r="H2310" s="11"/>
      <c r="I2310" s="12">
        <v>0</v>
      </c>
      <c r="J2310" s="12">
        <v>1</v>
      </c>
      <c r="K2310" s="13" t="str">
        <f t="shared" si="481"/>
        <v>Twitter for Android</v>
      </c>
      <c r="L2310" s="12">
        <v>388</v>
      </c>
      <c r="M2310" s="12">
        <v>289</v>
      </c>
      <c r="N2310" s="12">
        <v>7</v>
      </c>
      <c r="O2310" s="15"/>
      <c r="P2310" s="6">
        <v>41118.560856481483</v>
      </c>
      <c r="Q2310" s="16" t="s">
        <v>5229</v>
      </c>
      <c r="R2310" s="17" t="s">
        <v>5230</v>
      </c>
      <c r="S2310" s="14" t="s">
        <v>5231</v>
      </c>
      <c r="T2310" s="11"/>
      <c r="U2310" s="10" t="str">
        <f>HYPERLINK("https://pbs.twimg.com/profile_images/913926710097317890/JilApwaJ.jpg","View")</f>
        <v>View</v>
      </c>
    </row>
    <row r="2311" spans="1:21" ht="51">
      <c r="A2311" s="6">
        <v>43424.322557870371</v>
      </c>
      <c r="B2311" s="7" t="str">
        <f>HYPERLINK("https://twitter.com/seruntusitala","@seruntusitala")</f>
        <v>@seruntusitala</v>
      </c>
      <c r="C2311" s="8" t="s">
        <v>5232</v>
      </c>
      <c r="D2311" s="9" t="s">
        <v>5233</v>
      </c>
      <c r="E2311" s="10" t="str">
        <f>HYPERLINK("https://twitter.com/seruntusitala/status/1064907338933567488","1064907338933567488")</f>
        <v>1064907338933567488</v>
      </c>
      <c r="F2311" s="14" t="s">
        <v>5234</v>
      </c>
      <c r="G2311" s="11"/>
      <c r="H2311" s="11"/>
      <c r="I2311" s="12">
        <v>0</v>
      </c>
      <c r="J2311" s="12">
        <v>1</v>
      </c>
      <c r="K2311" s="13" t="str">
        <f>HYPERLINK("http://twitter.com","Twitter Web Client")</f>
        <v>Twitter Web Client</v>
      </c>
      <c r="L2311" s="12">
        <v>990</v>
      </c>
      <c r="M2311" s="12">
        <v>994</v>
      </c>
      <c r="N2311" s="12">
        <v>31</v>
      </c>
      <c r="O2311" s="15"/>
      <c r="P2311" s="6">
        <v>42224.389120370368</v>
      </c>
      <c r="Q2311" s="16" t="s">
        <v>28</v>
      </c>
      <c r="R2311" s="17" t="s">
        <v>5235</v>
      </c>
      <c r="S2311" s="14" t="s">
        <v>5236</v>
      </c>
      <c r="T2311" s="11"/>
      <c r="U2311" s="10" t="str">
        <f>HYPERLINK("https://pbs.twimg.com/profile_images/630662378917621761/SZm3op4R.jpg","View")</f>
        <v>View</v>
      </c>
    </row>
    <row r="2312" spans="1:21" ht="102">
      <c r="A2312" s="6">
        <v>43424.32030092593</v>
      </c>
      <c r="B2312" s="7" t="str">
        <f>HYPERLINK("https://twitter.com/Obi_Uan_Kenobi","@Obi_Uan_Kenobi")</f>
        <v>@Obi_Uan_Kenobi</v>
      </c>
      <c r="C2312" s="8" t="s">
        <v>1250</v>
      </c>
      <c r="D2312" s="9" t="s">
        <v>5237</v>
      </c>
      <c r="E2312" s="10" t="str">
        <f>HYPERLINK("https://twitter.com/Obi_Uan_Kenobi/status/1064906523573452801","1064906523573452801")</f>
        <v>1064906523573452801</v>
      </c>
      <c r="F2312" s="14" t="s">
        <v>5238</v>
      </c>
      <c r="G2312" s="14" t="s">
        <v>5239</v>
      </c>
      <c r="H2312" s="11"/>
      <c r="I2312" s="12">
        <v>2</v>
      </c>
      <c r="J2312" s="12">
        <v>2</v>
      </c>
      <c r="K2312" s="13" t="str">
        <f>HYPERLINK("https://about.twitter.com/products/tweetdeck","TweetDeck")</f>
        <v>TweetDeck</v>
      </c>
      <c r="L2312" s="12">
        <v>6439</v>
      </c>
      <c r="M2312" s="12">
        <v>250</v>
      </c>
      <c r="N2312" s="12">
        <v>130</v>
      </c>
      <c r="O2312" s="15"/>
      <c r="P2312" s="6">
        <v>40635.403738425928</v>
      </c>
      <c r="Q2312" s="16" t="s">
        <v>1255</v>
      </c>
      <c r="R2312" s="17" t="s">
        <v>1256</v>
      </c>
      <c r="S2312" s="11"/>
      <c r="T2312" s="11"/>
      <c r="U2312" s="10" t="str">
        <f>HYPERLINK("https://pbs.twimg.com/profile_images/1708357639/obiwankenobi1.jpg","View")</f>
        <v>View</v>
      </c>
    </row>
    <row r="2313" spans="1:21" ht="51">
      <c r="A2313" s="6">
        <v>43424.320266203707</v>
      </c>
      <c r="B2313" s="7" t="str">
        <f>HYPERLINK("https://twitter.com/cladra17","@cladra17")</f>
        <v>@cladra17</v>
      </c>
      <c r="C2313" s="8" t="s">
        <v>8289</v>
      </c>
      <c r="D2313" s="9" t="s">
        <v>8290</v>
      </c>
      <c r="E2313" s="10" t="str">
        <f>HYPERLINK("https://twitter.com/cladra17/status/1064906508541050881","1064906508541050881")</f>
        <v>1064906508541050881</v>
      </c>
      <c r="F2313" s="11"/>
      <c r="G2313" s="11"/>
      <c r="H2313" s="11"/>
      <c r="I2313" s="12">
        <v>0</v>
      </c>
      <c r="J2313" s="12">
        <v>3</v>
      </c>
      <c r="K2313" s="13" t="str">
        <f>HYPERLINK("http://twitter.com/download/android","Twitter for Android")</f>
        <v>Twitter for Android</v>
      </c>
      <c r="L2313" s="12">
        <v>9978</v>
      </c>
      <c r="M2313" s="12">
        <v>4801</v>
      </c>
      <c r="N2313" s="12">
        <v>20</v>
      </c>
      <c r="O2313" s="15"/>
      <c r="P2313" s="6">
        <v>40661.146874999999</v>
      </c>
      <c r="Q2313" s="16" t="s">
        <v>8291</v>
      </c>
      <c r="R2313" s="17" t="s">
        <v>8292</v>
      </c>
      <c r="S2313" s="11"/>
      <c r="T2313" s="11"/>
      <c r="U2313" s="10" t="str">
        <f>HYPERLINK("https://pbs.twimg.com/profile_images/1497188661/DX-summerslam.jpg","View")</f>
        <v>View</v>
      </c>
    </row>
    <row r="2314" spans="1:21" ht="30.6">
      <c r="A2314" s="6">
        <v>43424.319918981477</v>
      </c>
      <c r="B2314" s="7" t="str">
        <f>HYPERLINK("https://twitter.com/luisdecairo","@luisdecairo")</f>
        <v>@luisdecairo</v>
      </c>
      <c r="C2314" s="8" t="s">
        <v>8293</v>
      </c>
      <c r="D2314" s="9" t="s">
        <v>8024</v>
      </c>
      <c r="E2314" s="10" t="str">
        <f>HYPERLINK("https://twitter.com/luisdecairo/status/1064906384502857728","1064906384502857728")</f>
        <v>1064906384502857728</v>
      </c>
      <c r="F2314" s="14" t="s">
        <v>8025</v>
      </c>
      <c r="G2314" s="11"/>
      <c r="H2314" s="11"/>
      <c r="I2314" s="12">
        <v>0</v>
      </c>
      <c r="J2314" s="12">
        <v>0</v>
      </c>
      <c r="K2314" s="13" t="str">
        <f>HYPERLINK("http://twitter.com","Twitter Web Client")</f>
        <v>Twitter Web Client</v>
      </c>
      <c r="L2314" s="12">
        <v>667</v>
      </c>
      <c r="M2314" s="12">
        <v>1148</v>
      </c>
      <c r="N2314" s="12">
        <v>14</v>
      </c>
      <c r="O2314" s="15"/>
      <c r="P2314" s="6">
        <v>41388.394780092596</v>
      </c>
      <c r="Q2314" s="16" t="s">
        <v>1541</v>
      </c>
      <c r="R2314" s="17" t="s">
        <v>8294</v>
      </c>
      <c r="S2314" s="11"/>
      <c r="T2314" s="11"/>
      <c r="U2314" s="10" t="str">
        <f>HYPERLINK("https://pbs.twimg.com/profile_images/971895609920774145/LsoSGx_g.jpg","View")</f>
        <v>View</v>
      </c>
    </row>
    <row r="2315" spans="1:21" ht="51">
      <c r="A2315" s="6">
        <v>43424.317766203705</v>
      </c>
      <c r="B2315" s="7" t="str">
        <f>HYPERLINK("https://twitter.com/TercioHispanico","@TercioHispanico")</f>
        <v>@TercioHispanico</v>
      </c>
      <c r="C2315" s="8" t="s">
        <v>3885</v>
      </c>
      <c r="D2315" s="9" t="s">
        <v>8295</v>
      </c>
      <c r="E2315" s="10" t="str">
        <f>HYPERLINK("https://twitter.com/TercioHispanico/status/1064905604110651392","1064905604110651392")</f>
        <v>1064905604110651392</v>
      </c>
      <c r="F2315" s="11"/>
      <c r="G2315" s="14" t="s">
        <v>8296</v>
      </c>
      <c r="H2315" s="11"/>
      <c r="I2315" s="12">
        <v>0</v>
      </c>
      <c r="J2315" s="12">
        <v>0</v>
      </c>
      <c r="K2315" s="13" t="str">
        <f>HYPERLINK("https://diariorc.com","Tercio Hispánico App C")</f>
        <v>Tercio Hispánico App C</v>
      </c>
      <c r="L2315" s="12">
        <v>1463</v>
      </c>
      <c r="M2315" s="12">
        <v>1448</v>
      </c>
      <c r="N2315" s="12">
        <v>3</v>
      </c>
      <c r="O2315" s="15"/>
      <c r="P2315" s="6">
        <v>43074.442384259259</v>
      </c>
      <c r="Q2315" s="16" t="s">
        <v>28</v>
      </c>
      <c r="R2315" s="17" t="s">
        <v>3888</v>
      </c>
      <c r="S2315" s="11"/>
      <c r="T2315" s="11"/>
      <c r="U2315" s="10" t="str">
        <f>HYPERLINK("https://pbs.twimg.com/profile_images/938810411045941249/GJ1yq9OJ.jpg","View")</f>
        <v>View</v>
      </c>
    </row>
    <row r="2316" spans="1:21" ht="40.799999999999997">
      <c r="A2316" s="6">
        <v>43424.317430555559</v>
      </c>
      <c r="B2316" s="7" t="str">
        <f>HYPERLINK("https://twitter.com/Obi_Uan_Kenobi","@Obi_Uan_Kenobi")</f>
        <v>@Obi_Uan_Kenobi</v>
      </c>
      <c r="C2316" s="8" t="s">
        <v>1250</v>
      </c>
      <c r="D2316" s="9" t="s">
        <v>5244</v>
      </c>
      <c r="E2316" s="10" t="str">
        <f>HYPERLINK("https://twitter.com/Obi_Uan_Kenobi/status/1064905482291302400","1064905482291302400")</f>
        <v>1064905482291302400</v>
      </c>
      <c r="F2316" s="11"/>
      <c r="G2316" s="11"/>
      <c r="H2316" s="11"/>
      <c r="I2316" s="12">
        <v>2</v>
      </c>
      <c r="J2316" s="12">
        <v>6</v>
      </c>
      <c r="K2316" s="13" t="str">
        <f>HYPERLINK("http://twitter.com","Twitter Web Client")</f>
        <v>Twitter Web Client</v>
      </c>
      <c r="L2316" s="12">
        <v>6439</v>
      </c>
      <c r="M2316" s="12">
        <v>250</v>
      </c>
      <c r="N2316" s="12">
        <v>130</v>
      </c>
      <c r="O2316" s="15"/>
      <c r="P2316" s="6">
        <v>40635.403738425928</v>
      </c>
      <c r="Q2316" s="16" t="s">
        <v>1255</v>
      </c>
      <c r="R2316" s="17" t="s">
        <v>1256</v>
      </c>
      <c r="S2316" s="11"/>
      <c r="T2316" s="11"/>
      <c r="U2316" s="10" t="str">
        <f>HYPERLINK("https://pbs.twimg.com/profile_images/1708357639/obiwankenobi1.jpg","View")</f>
        <v>View</v>
      </c>
    </row>
    <row r="2317" spans="1:21" ht="20.399999999999999">
      <c r="A2317" s="6">
        <v>43424.317002314812</v>
      </c>
      <c r="B2317" s="7" t="str">
        <f>HYPERLINK("https://twitter.com/LuisAlb87688384","@LuisAlb87688384")</f>
        <v>@LuisAlb87688384</v>
      </c>
      <c r="C2317" s="8" t="s">
        <v>7644</v>
      </c>
      <c r="D2317" s="9" t="s">
        <v>7848</v>
      </c>
      <c r="E2317" s="10" t="str">
        <f>HYPERLINK("https://twitter.com/LuisAlb87688384/status/1064905326040965120","1064905326040965120")</f>
        <v>1064905326040965120</v>
      </c>
      <c r="F2317" s="14" t="s">
        <v>2122</v>
      </c>
      <c r="G2317" s="11"/>
      <c r="H2317" s="11"/>
      <c r="I2317" s="12">
        <v>0</v>
      </c>
      <c r="J2317" s="12">
        <v>0</v>
      </c>
      <c r="K2317" s="13" t="str">
        <f t="shared" ref="K2317:K2318" si="482">HYPERLINK("http://twitter.com/download/android","Twitter for Android")</f>
        <v>Twitter for Android</v>
      </c>
      <c r="L2317" s="12">
        <v>56</v>
      </c>
      <c r="M2317" s="12">
        <v>67</v>
      </c>
      <c r="N2317" s="12">
        <v>0</v>
      </c>
      <c r="O2317" s="15"/>
      <c r="P2317" s="6">
        <v>42641.564305555556</v>
      </c>
      <c r="Q2317" s="11"/>
      <c r="R2317" s="17" t="s">
        <v>7645</v>
      </c>
      <c r="S2317" s="11"/>
      <c r="T2317" s="11"/>
      <c r="U2317" s="10" t="str">
        <f>HYPERLINK("https://pbs.twimg.com/profile_images/934800927193780225/pAs7j9sw.jpg","View")</f>
        <v>View</v>
      </c>
    </row>
    <row r="2318" spans="1:21" ht="61.2">
      <c r="A2318" s="6">
        <v>43424.31549768518</v>
      </c>
      <c r="B2318" s="7" t="str">
        <f>HYPERLINK("https://twitter.com/MSPE_CValencia","@MSPE_CValencia")</f>
        <v>@MSPE_CValencia</v>
      </c>
      <c r="C2318" s="8" t="s">
        <v>4688</v>
      </c>
      <c r="D2318" s="9" t="s">
        <v>5247</v>
      </c>
      <c r="E2318" s="10" t="str">
        <f>HYPERLINK("https://twitter.com/MSPE_CValencia/status/1064904781729341441","1064904781729341441")</f>
        <v>1064904781729341441</v>
      </c>
      <c r="F2318" s="11"/>
      <c r="G2318" s="14" t="s">
        <v>5248</v>
      </c>
      <c r="H2318" s="11"/>
      <c r="I2318" s="12">
        <v>4</v>
      </c>
      <c r="J2318" s="12">
        <v>4</v>
      </c>
      <c r="K2318" s="13" t="str">
        <f t="shared" si="482"/>
        <v>Twitter for Android</v>
      </c>
      <c r="L2318" s="12">
        <v>96</v>
      </c>
      <c r="M2318" s="12">
        <v>82</v>
      </c>
      <c r="N2318" s="12">
        <v>0</v>
      </c>
      <c r="O2318" s="15"/>
      <c r="P2318" s="6">
        <v>43286.259652777779</v>
      </c>
      <c r="Q2318" s="16" t="s">
        <v>2839</v>
      </c>
      <c r="R2318" s="17" t="s">
        <v>4693</v>
      </c>
      <c r="S2318" s="14" t="s">
        <v>4694</v>
      </c>
      <c r="T2318" s="11"/>
      <c r="U2318" s="10" t="str">
        <f>HYPERLINK("https://pbs.twimg.com/profile_images/1037964847441477632/X3aiAaXi.jpg","View")</f>
        <v>View</v>
      </c>
    </row>
    <row r="2319" spans="1:21" ht="51">
      <c r="A2319" s="6">
        <v>43424.315034722225</v>
      </c>
      <c r="B2319" s="7" t="str">
        <f>HYPERLINK("https://twitter.com/TercioHispanico","@TercioHispanico")</f>
        <v>@TercioHispanico</v>
      </c>
      <c r="C2319" s="8" t="s">
        <v>3885</v>
      </c>
      <c r="D2319" s="9" t="s">
        <v>8297</v>
      </c>
      <c r="E2319" s="10" t="str">
        <f>HYPERLINK("https://twitter.com/TercioHispanico/status/1064904612992434176","1064904612992434176")</f>
        <v>1064904612992434176</v>
      </c>
      <c r="F2319" s="14" t="s">
        <v>8263</v>
      </c>
      <c r="G2319" s="11"/>
      <c r="H2319" s="11"/>
      <c r="I2319" s="12">
        <v>0</v>
      </c>
      <c r="J2319" s="12">
        <v>0</v>
      </c>
      <c r="K2319" s="13" t="str">
        <f>HYPERLINK("https://diariorc.com","Tercio Hispánico App C")</f>
        <v>Tercio Hispánico App C</v>
      </c>
      <c r="L2319" s="12">
        <v>1463</v>
      </c>
      <c r="M2319" s="12">
        <v>1448</v>
      </c>
      <c r="N2319" s="12">
        <v>3</v>
      </c>
      <c r="O2319" s="15"/>
      <c r="P2319" s="6">
        <v>43074.442384259259</v>
      </c>
      <c r="Q2319" s="16" t="s">
        <v>28</v>
      </c>
      <c r="R2319" s="17" t="s">
        <v>3888</v>
      </c>
      <c r="S2319" s="11"/>
      <c r="T2319" s="11"/>
      <c r="U2319" s="10" t="str">
        <f>HYPERLINK("https://pbs.twimg.com/profile_images/938810411045941249/GJ1yq9OJ.jpg","View")</f>
        <v>View</v>
      </c>
    </row>
    <row r="2320" spans="1:21" ht="40.799999999999997">
      <c r="A2320" s="6">
        <v>43424.314386574071</v>
      </c>
      <c r="B2320" s="7" t="str">
        <f>HYPERLINK("https://twitter.com/DaniGagoPhoto","@DaniGagoPhoto")</f>
        <v>@DaniGagoPhoto</v>
      </c>
      <c r="C2320" s="8" t="s">
        <v>8298</v>
      </c>
      <c r="D2320" s="9" t="s">
        <v>8299</v>
      </c>
      <c r="E2320" s="10" t="str">
        <f>HYPERLINK("https://twitter.com/DaniGagoPhoto/status/1064904379420028928","1064904379420028928")</f>
        <v>1064904379420028928</v>
      </c>
      <c r="F2320" s="11"/>
      <c r="G2320" s="14" t="s">
        <v>8300</v>
      </c>
      <c r="H2320" s="11"/>
      <c r="I2320" s="12">
        <v>23</v>
      </c>
      <c r="J2320" s="12">
        <v>37</v>
      </c>
      <c r="K2320" s="13" t="str">
        <f t="shared" ref="K2320:K2321" si="483">HYPERLINK("http://twitter.com/download/android","Twitter for Android")</f>
        <v>Twitter for Android</v>
      </c>
      <c r="L2320" s="12">
        <v>6102</v>
      </c>
      <c r="M2320" s="12">
        <v>1288</v>
      </c>
      <c r="N2320" s="12">
        <v>48</v>
      </c>
      <c r="O2320" s="15"/>
      <c r="P2320" s="6">
        <v>42862.359722222223</v>
      </c>
      <c r="Q2320" s="16" t="s">
        <v>8301</v>
      </c>
      <c r="R2320" s="17" t="s">
        <v>8302</v>
      </c>
      <c r="S2320" s="14" t="s">
        <v>8303</v>
      </c>
      <c r="T2320" s="11"/>
      <c r="U2320" s="10" t="str">
        <f>HYPERLINK("https://pbs.twimg.com/profile_images/861245248248451073/WJ7ZNxRw.jpg","View")</f>
        <v>View</v>
      </c>
    </row>
    <row r="2321" spans="1:21" ht="30.6">
      <c r="A2321" s="6">
        <v>43424.314282407402</v>
      </c>
      <c r="B2321" s="7" t="str">
        <f>HYPERLINK("https://twitter.com/robtte2000","@robtte2000")</f>
        <v>@robtte2000</v>
      </c>
      <c r="C2321" s="8" t="s">
        <v>8304</v>
      </c>
      <c r="D2321" s="9" t="s">
        <v>8305</v>
      </c>
      <c r="E2321" s="10" t="str">
        <f>HYPERLINK("https://twitter.com/robtte2000/status/1064904340522090497","1064904340522090497")</f>
        <v>1064904340522090497</v>
      </c>
      <c r="F2321" s="14" t="s">
        <v>2122</v>
      </c>
      <c r="G2321" s="11"/>
      <c r="H2321" s="11"/>
      <c r="I2321" s="12">
        <v>0</v>
      </c>
      <c r="J2321" s="12">
        <v>0</v>
      </c>
      <c r="K2321" s="13" t="str">
        <f t="shared" si="483"/>
        <v>Twitter for Android</v>
      </c>
      <c r="L2321" s="12">
        <v>39</v>
      </c>
      <c r="M2321" s="12">
        <v>34</v>
      </c>
      <c r="N2321" s="12">
        <v>1</v>
      </c>
      <c r="O2321" s="15"/>
      <c r="P2321" s="6">
        <v>42451.426562499997</v>
      </c>
      <c r="Q2321" s="16" t="s">
        <v>8306</v>
      </c>
      <c r="R2321" s="17" t="s">
        <v>8307</v>
      </c>
      <c r="S2321" s="11"/>
      <c r="T2321" s="11"/>
      <c r="U2321" s="10" t="str">
        <f>HYPERLINK("https://pbs.twimg.com/profile_images/1004829258496315393/day_uCMj.jpg","View")</f>
        <v>View</v>
      </c>
    </row>
    <row r="2322" spans="1:21" ht="20.399999999999999">
      <c r="A2322" s="6">
        <v>43424.314004629632</v>
      </c>
      <c r="B2322" s="7" t="str">
        <f>HYPERLINK("https://twitter.com/Pepita_MG","@Pepita_MG")</f>
        <v>@Pepita_MG</v>
      </c>
      <c r="C2322" s="8" t="s">
        <v>8308</v>
      </c>
      <c r="D2322" s="9" t="s">
        <v>8309</v>
      </c>
      <c r="E2322" s="10" t="str">
        <f>HYPERLINK("https://twitter.com/Pepita_MG/status/1064904239766536192","1064904239766536192")</f>
        <v>1064904239766536192</v>
      </c>
      <c r="F2322" s="14" t="s">
        <v>8310</v>
      </c>
      <c r="G2322" s="11"/>
      <c r="H2322" s="11"/>
      <c r="I2322" s="12">
        <v>0</v>
      </c>
      <c r="J2322" s="12">
        <v>0</v>
      </c>
      <c r="K2322" s="13" t="str">
        <f>HYPERLINK("http://www.facebook.com/twitter","Facebook")</f>
        <v>Facebook</v>
      </c>
      <c r="L2322" s="12">
        <v>96</v>
      </c>
      <c r="M2322" s="12">
        <v>342</v>
      </c>
      <c r="N2322" s="12">
        <v>1</v>
      </c>
      <c r="O2322" s="15"/>
      <c r="P2322" s="6">
        <v>41201.150405092594</v>
      </c>
      <c r="Q2322" s="16" t="s">
        <v>8311</v>
      </c>
      <c r="R2322" s="19"/>
      <c r="S2322" s="11"/>
      <c r="T2322" s="11"/>
      <c r="U2322" s="10" t="str">
        <f>HYPERLINK("https://pbs.twimg.com/profile_images/716749786016256000/n2xzI_yT.jpg","View")</f>
        <v>View</v>
      </c>
    </row>
    <row r="2323" spans="1:21" ht="51">
      <c r="A2323" s="6">
        <v>43424.312210648146</v>
      </c>
      <c r="B2323" s="7" t="str">
        <f>HYPERLINK("https://twitter.com/halcombenorilsk","@halcombenorilsk")</f>
        <v>@halcombenorilsk</v>
      </c>
      <c r="C2323" s="8" t="s">
        <v>5252</v>
      </c>
      <c r="D2323" s="9" t="s">
        <v>5253</v>
      </c>
      <c r="E2323" s="10" t="str">
        <f>HYPERLINK("https://twitter.com/halcombenorilsk/status/1064903589326438402","1064903589326438402")</f>
        <v>1064903589326438402</v>
      </c>
      <c r="F2323" s="11"/>
      <c r="G2323" s="11"/>
      <c r="H2323" s="11"/>
      <c r="I2323" s="12">
        <v>0</v>
      </c>
      <c r="J2323" s="12">
        <v>0</v>
      </c>
      <c r="K2323" s="13" t="str">
        <f t="shared" ref="K2323:K2324" si="484">HYPERLINK("http://twitter.com","Twitter Web Client")</f>
        <v>Twitter Web Client</v>
      </c>
      <c r="L2323" s="12">
        <v>6570</v>
      </c>
      <c r="M2323" s="12">
        <v>6372</v>
      </c>
      <c r="N2323" s="12">
        <v>171</v>
      </c>
      <c r="O2323" s="15"/>
      <c r="P2323" s="6">
        <v>40575.23710648148</v>
      </c>
      <c r="Q2323" s="16" t="s">
        <v>5254</v>
      </c>
      <c r="R2323" s="17" t="s">
        <v>5255</v>
      </c>
      <c r="S2323" s="14" t="s">
        <v>5256</v>
      </c>
      <c r="T2323" s="11"/>
      <c r="U2323" s="10" t="str">
        <f>HYPERLINK("https://pbs.twimg.com/profile_images/986136365996879873/1Yrq_5YC.jpg","View")</f>
        <v>View</v>
      </c>
    </row>
    <row r="2324" spans="1:21" ht="40.799999999999997">
      <c r="A2324" s="6">
        <v>43424.311585648145</v>
      </c>
      <c r="B2324" s="7" t="str">
        <f>HYPERLINK("https://twitter.com/AntonioLglam","@AntonioLglam")</f>
        <v>@AntonioLglam</v>
      </c>
      <c r="C2324" s="8" t="s">
        <v>8312</v>
      </c>
      <c r="D2324" s="9" t="s">
        <v>7848</v>
      </c>
      <c r="E2324" s="10" t="str">
        <f>HYPERLINK("https://twitter.com/AntonioLglam/status/1064903361672224768","1064903361672224768")</f>
        <v>1064903361672224768</v>
      </c>
      <c r="F2324" s="14" t="s">
        <v>2122</v>
      </c>
      <c r="G2324" s="11"/>
      <c r="H2324" s="11"/>
      <c r="I2324" s="12">
        <v>0</v>
      </c>
      <c r="J2324" s="12">
        <v>0</v>
      </c>
      <c r="K2324" s="13" t="str">
        <f t="shared" si="484"/>
        <v>Twitter Web Client</v>
      </c>
      <c r="L2324" s="12">
        <v>370</v>
      </c>
      <c r="M2324" s="12">
        <v>3948</v>
      </c>
      <c r="N2324" s="12">
        <v>8</v>
      </c>
      <c r="O2324" s="15"/>
      <c r="P2324" s="6">
        <v>41702.428090277775</v>
      </c>
      <c r="Q2324" s="11"/>
      <c r="R2324" s="17" t="s">
        <v>8313</v>
      </c>
      <c r="S2324" s="11"/>
      <c r="T2324" s="11"/>
      <c r="U2324" s="10" t="str">
        <f>HYPERLINK("https://pbs.twimg.com/profile_images/459281568041684993/Y548YB2Q.jpeg","View")</f>
        <v>View</v>
      </c>
    </row>
    <row r="2325" spans="1:21" ht="30.6">
      <c r="A2325" s="6">
        <v>43424.310937499999</v>
      </c>
      <c r="B2325" s="7" t="str">
        <f>HYPERLINK("https://twitter.com/titodixebra","@titodixebra")</f>
        <v>@titodixebra</v>
      </c>
      <c r="C2325" s="8" t="s">
        <v>5257</v>
      </c>
      <c r="D2325" s="9" t="s">
        <v>5258</v>
      </c>
      <c r="E2325" s="10" t="str">
        <f>HYPERLINK("https://twitter.com/titodixebra/status/1064903130767376390","1064903130767376390")</f>
        <v>1064903130767376390</v>
      </c>
      <c r="F2325" s="11"/>
      <c r="G2325" s="14" t="s">
        <v>5259</v>
      </c>
      <c r="H2325" s="11"/>
      <c r="I2325" s="12">
        <v>2</v>
      </c>
      <c r="J2325" s="12">
        <v>5</v>
      </c>
      <c r="K2325" s="13" t="str">
        <f t="shared" ref="K2325:K2327" si="485">HYPERLINK("http://twitter.com/download/android","Twitter for Android")</f>
        <v>Twitter for Android</v>
      </c>
      <c r="L2325" s="12">
        <v>1806</v>
      </c>
      <c r="M2325" s="12">
        <v>3147</v>
      </c>
      <c r="N2325" s="12">
        <v>58</v>
      </c>
      <c r="O2325" s="15"/>
      <c r="P2325" s="6">
        <v>39603.021782407406</v>
      </c>
      <c r="Q2325" s="16" t="s">
        <v>5262</v>
      </c>
      <c r="R2325" s="17" t="s">
        <v>5263</v>
      </c>
      <c r="S2325" s="14" t="s">
        <v>5264</v>
      </c>
      <c r="T2325" s="11"/>
      <c r="U2325" s="10" t="str">
        <f>HYPERLINK("https://pbs.twimg.com/profile_images/781746896255774720/h7vw49bh.jpg","View")</f>
        <v>View</v>
      </c>
    </row>
    <row r="2326" spans="1:21" ht="30.6">
      <c r="A2326" s="6">
        <v>43424.310891203699</v>
      </c>
      <c r="B2326" s="7" t="str">
        <f>HYPERLINK("https://twitter.com/elperroverde60","@elperroverde60")</f>
        <v>@elperroverde60</v>
      </c>
      <c r="C2326" s="8" t="s">
        <v>7438</v>
      </c>
      <c r="D2326" s="9" t="s">
        <v>7848</v>
      </c>
      <c r="E2326" s="10" t="str">
        <f>HYPERLINK("https://twitter.com/elperroverde60/status/1064903111372869632","1064903111372869632")</f>
        <v>1064903111372869632</v>
      </c>
      <c r="F2326" s="14" t="s">
        <v>2122</v>
      </c>
      <c r="G2326" s="11"/>
      <c r="H2326" s="11"/>
      <c r="I2326" s="12">
        <v>0</v>
      </c>
      <c r="J2326" s="12">
        <v>0</v>
      </c>
      <c r="K2326" s="13" t="str">
        <f t="shared" si="485"/>
        <v>Twitter for Android</v>
      </c>
      <c r="L2326" s="12">
        <v>487</v>
      </c>
      <c r="M2326" s="12">
        <v>1070</v>
      </c>
      <c r="N2326" s="12">
        <v>15</v>
      </c>
      <c r="O2326" s="15"/>
      <c r="P2326" s="6">
        <v>42089.549930555557</v>
      </c>
      <c r="Q2326" s="16" t="s">
        <v>7439</v>
      </c>
      <c r="R2326" s="17" t="s">
        <v>7440</v>
      </c>
      <c r="S2326" s="14" t="s">
        <v>7441</v>
      </c>
      <c r="T2326" s="11"/>
      <c r="U2326" s="10" t="str">
        <f>HYPERLINK("https://pbs.twimg.com/profile_images/910885355607511041/DPA_yUF4.jpg","View")</f>
        <v>View</v>
      </c>
    </row>
    <row r="2327" spans="1:21" ht="51">
      <c r="A2327" s="6">
        <v>43424.309050925927</v>
      </c>
      <c r="B2327" s="7" t="str">
        <f>HYPERLINK("https://twitter.com/Lual2Bento","@Lual2Bento")</f>
        <v>@Lual2Bento</v>
      </c>
      <c r="C2327" s="8" t="s">
        <v>5265</v>
      </c>
      <c r="D2327" s="9" t="s">
        <v>5267</v>
      </c>
      <c r="E2327" s="10" t="str">
        <f>HYPERLINK("https://twitter.com/Lual2Bento/status/1064902444126216194","1064902444126216194")</f>
        <v>1064902444126216194</v>
      </c>
      <c r="F2327" s="11"/>
      <c r="G2327" s="11"/>
      <c r="H2327" s="11"/>
      <c r="I2327" s="12">
        <v>0</v>
      </c>
      <c r="J2327" s="12">
        <v>0</v>
      </c>
      <c r="K2327" s="13" t="str">
        <f t="shared" si="485"/>
        <v>Twitter for Android</v>
      </c>
      <c r="L2327" s="12">
        <v>35</v>
      </c>
      <c r="M2327" s="12">
        <v>100</v>
      </c>
      <c r="N2327" s="12">
        <v>0</v>
      </c>
      <c r="O2327" s="15"/>
      <c r="P2327" s="6">
        <v>41037.973020833335</v>
      </c>
      <c r="Q2327" s="16" t="s">
        <v>1188</v>
      </c>
      <c r="R2327" s="19"/>
      <c r="S2327" s="11"/>
      <c r="T2327" s="11"/>
      <c r="U2327" s="10" t="str">
        <f>HYPERLINK("https://pbs.twimg.com/profile_images/705328450790240256/uA8hxwz-.jpg","View")</f>
        <v>View</v>
      </c>
    </row>
    <row r="2328" spans="1:21" ht="30.6">
      <c r="A2328" s="6">
        <v>43424.307951388888</v>
      </c>
      <c r="B2328" s="7" t="str">
        <f>HYPERLINK("https://twitter.com/ElAngelFacha","@ElAngelFacha")</f>
        <v>@ElAngelFacha</v>
      </c>
      <c r="C2328" s="8" t="s">
        <v>5155</v>
      </c>
      <c r="D2328" s="9" t="s">
        <v>5269</v>
      </c>
      <c r="E2328" s="10" t="str">
        <f>HYPERLINK("https://twitter.com/ElAngelFacha/status/1064902048318144513","1064902048318144513")</f>
        <v>1064902048318144513</v>
      </c>
      <c r="F2328" s="14" t="s">
        <v>5272</v>
      </c>
      <c r="G2328" s="11"/>
      <c r="H2328" s="11"/>
      <c r="I2328" s="12">
        <v>17</v>
      </c>
      <c r="J2328" s="12">
        <v>9</v>
      </c>
      <c r="K2328" s="13" t="str">
        <f t="shared" ref="K2328:K2329" si="486">HYPERLINK("http://twitter.com","Twitter Web Client")</f>
        <v>Twitter Web Client</v>
      </c>
      <c r="L2328" s="12">
        <v>1109</v>
      </c>
      <c r="M2328" s="12">
        <v>1522</v>
      </c>
      <c r="N2328" s="12">
        <v>1</v>
      </c>
      <c r="O2328" s="15"/>
      <c r="P2328" s="6">
        <v>42923.553784722222</v>
      </c>
      <c r="Q2328" s="16" t="s">
        <v>5162</v>
      </c>
      <c r="R2328" s="17" t="s">
        <v>5163</v>
      </c>
      <c r="S2328" s="11"/>
      <c r="T2328" s="11"/>
      <c r="U2328" s="10" t="str">
        <f>HYPERLINK("https://pbs.twimg.com/profile_images/1065214756913582080/fpMeP2qa.jpg","View")</f>
        <v>View</v>
      </c>
    </row>
    <row r="2329" spans="1:21" ht="30.6">
      <c r="A2329" s="6">
        <v>43424.306134259255</v>
      </c>
      <c r="B2329" s="7" t="str">
        <f>HYPERLINK("https://twitter.com/anafvila","@anafvila")</f>
        <v>@anafvila</v>
      </c>
      <c r="C2329" s="8" t="s">
        <v>5273</v>
      </c>
      <c r="D2329" s="9" t="s">
        <v>5274</v>
      </c>
      <c r="E2329" s="10" t="str">
        <f>HYPERLINK("https://twitter.com/anafvila/status/1064901387841093638","1064901387841093638")</f>
        <v>1064901387841093638</v>
      </c>
      <c r="F2329" s="14" t="s">
        <v>5275</v>
      </c>
      <c r="G2329" s="11"/>
      <c r="H2329" s="11"/>
      <c r="I2329" s="12">
        <v>0</v>
      </c>
      <c r="J2329" s="12">
        <v>0</v>
      </c>
      <c r="K2329" s="13" t="str">
        <f t="shared" si="486"/>
        <v>Twitter Web Client</v>
      </c>
      <c r="L2329" s="12">
        <v>1958</v>
      </c>
      <c r="M2329" s="12">
        <v>1968</v>
      </c>
      <c r="N2329" s="12">
        <v>90</v>
      </c>
      <c r="O2329" s="15"/>
      <c r="P2329" s="6">
        <v>40278.481111111112</v>
      </c>
      <c r="Q2329" s="16" t="s">
        <v>38</v>
      </c>
      <c r="R2329" s="17" t="s">
        <v>5276</v>
      </c>
      <c r="S2329" s="14" t="s">
        <v>5277</v>
      </c>
      <c r="T2329" s="11"/>
      <c r="U2329" s="10" t="str">
        <f>HYPERLINK("https://pbs.twimg.com/profile_images/1045366516970115072/ZaxfKuT4.jpg","View")</f>
        <v>View</v>
      </c>
    </row>
    <row r="2330" spans="1:21" ht="51">
      <c r="A2330" s="6">
        <v>43424.305081018523</v>
      </c>
      <c r="B2330" s="7" t="str">
        <f>HYPERLINK("https://twitter.com/DanieLdhGallego","@DanieLdhGallego")</f>
        <v>@DanieLdhGallego</v>
      </c>
      <c r="C2330" s="8" t="s">
        <v>5278</v>
      </c>
      <c r="D2330" s="9" t="s">
        <v>5279</v>
      </c>
      <c r="E2330" s="10" t="str">
        <f>HYPERLINK("https://twitter.com/DanieLdhGallego/status/1064901008038551553","1064901008038551553")</f>
        <v>1064901008038551553</v>
      </c>
      <c r="F2330" s="14" t="s">
        <v>5280</v>
      </c>
      <c r="G2330" s="11"/>
      <c r="H2330" s="11"/>
      <c r="I2330" s="12">
        <v>0</v>
      </c>
      <c r="J2330" s="12">
        <v>0</v>
      </c>
      <c r="K2330" s="13" t="str">
        <f>HYPERLINK("http://twitter.com/download/android","Twitter for Android")</f>
        <v>Twitter for Android</v>
      </c>
      <c r="L2330" s="12">
        <v>428</v>
      </c>
      <c r="M2330" s="12">
        <v>1363</v>
      </c>
      <c r="N2330" s="12">
        <v>2</v>
      </c>
      <c r="O2330" s="15"/>
      <c r="P2330" s="6">
        <v>40599.318460648152</v>
      </c>
      <c r="Q2330" s="16" t="s">
        <v>5281</v>
      </c>
      <c r="R2330" s="17" t="s">
        <v>5282</v>
      </c>
      <c r="S2330" s="14" t="s">
        <v>5283</v>
      </c>
      <c r="T2330" s="11"/>
      <c r="U2330" s="10" t="str">
        <f>HYPERLINK("https://pbs.twimg.com/profile_images/378800000227877886/cd247c432071bb040c62dcb4560077b5.jpeg","View")</f>
        <v>View</v>
      </c>
    </row>
    <row r="2331" spans="1:21" ht="91.8">
      <c r="A2331" s="6">
        <v>43424.304479166662</v>
      </c>
      <c r="B2331" s="7" t="str">
        <f>HYPERLINK("https://twitter.com/kalivolcan","@kalivolcan")</f>
        <v>@kalivolcan</v>
      </c>
      <c r="C2331" s="8" t="s">
        <v>5284</v>
      </c>
      <c r="D2331" s="9" t="s">
        <v>5285</v>
      </c>
      <c r="E2331" s="10" t="str">
        <f>HYPERLINK("https://twitter.com/kalivolcan/status/1064900786302459904","1064900786302459904")</f>
        <v>1064900786302459904</v>
      </c>
      <c r="F2331" s="14" t="s">
        <v>5287</v>
      </c>
      <c r="G2331" s="14" t="s">
        <v>5288</v>
      </c>
      <c r="H2331" s="11"/>
      <c r="I2331" s="12">
        <v>0</v>
      </c>
      <c r="J2331" s="12">
        <v>0</v>
      </c>
      <c r="K2331" s="13" t="str">
        <f>HYPERLINK("http://twitter.com/download/iphone","Twitter for iPhone")</f>
        <v>Twitter for iPhone</v>
      </c>
      <c r="L2331" s="12">
        <v>1174</v>
      </c>
      <c r="M2331" s="12">
        <v>1196</v>
      </c>
      <c r="N2331" s="12">
        <v>28</v>
      </c>
      <c r="O2331" s="15"/>
      <c r="P2331" s="6">
        <v>39945.559699074074</v>
      </c>
      <c r="Q2331" s="11"/>
      <c r="R2331" s="17" t="s">
        <v>5292</v>
      </c>
      <c r="S2331" s="11"/>
      <c r="T2331" s="11"/>
      <c r="U2331" s="10" t="str">
        <f>HYPERLINK("https://pbs.twimg.com/profile_images/882754893215346688/p8bPsvHO.jpg","View")</f>
        <v>View</v>
      </c>
    </row>
    <row r="2332" spans="1:21" ht="40.799999999999997">
      <c r="A2332" s="6">
        <v>43424.304409722223</v>
      </c>
      <c r="B2332" s="7" t="str">
        <f>HYPERLINK("https://twitter.com/JosPastr","@JosPastr")</f>
        <v>@JosPastr</v>
      </c>
      <c r="C2332" s="8" t="s">
        <v>6316</v>
      </c>
      <c r="D2332" s="9" t="s">
        <v>8314</v>
      </c>
      <c r="E2332" s="10" t="str">
        <f>HYPERLINK("https://twitter.com/JosPastr/status/1064900763619598338","1064900763619598338")</f>
        <v>1064900763619598338</v>
      </c>
      <c r="F2332" s="11"/>
      <c r="G2332" s="11"/>
      <c r="H2332" s="11"/>
      <c r="I2332" s="12">
        <v>1303</v>
      </c>
      <c r="J2332" s="12">
        <v>2913</v>
      </c>
      <c r="K2332" s="13" t="str">
        <f>HYPERLINK("http://twitter.com/download/android","Twitter for Android")</f>
        <v>Twitter for Android</v>
      </c>
      <c r="L2332" s="12">
        <v>127846</v>
      </c>
      <c r="M2332" s="12">
        <v>896</v>
      </c>
      <c r="N2332" s="12">
        <v>712</v>
      </c>
      <c r="O2332" s="15"/>
      <c r="P2332" s="6">
        <v>40959.168009259258</v>
      </c>
      <c r="Q2332" s="16" t="s">
        <v>6318</v>
      </c>
      <c r="R2332" s="17" t="s">
        <v>6319</v>
      </c>
      <c r="S2332" s="11"/>
      <c r="T2332" s="11"/>
      <c r="U2332" s="10" t="str">
        <f>HYPERLINK("https://pbs.twimg.com/profile_images/947754298347278338/AbC_2PjL.jpg","View")</f>
        <v>View</v>
      </c>
    </row>
    <row r="2333" spans="1:21" ht="30.6">
      <c r="A2333" s="6">
        <v>43424.304166666669</v>
      </c>
      <c r="B2333" s="7" t="str">
        <f>HYPERLINK("https://twitter.com/okdiario","@okdiario")</f>
        <v>@okdiario</v>
      </c>
      <c r="C2333" s="8" t="s">
        <v>8315</v>
      </c>
      <c r="D2333" s="9" t="s">
        <v>8316</v>
      </c>
      <c r="E2333" s="10" t="str">
        <f>HYPERLINK("https://twitter.com/okdiario/status/1064900673618276352","1064900673618276352")</f>
        <v>1064900673618276352</v>
      </c>
      <c r="F2333" s="14" t="s">
        <v>8263</v>
      </c>
      <c r="G2333" s="11"/>
      <c r="H2333" s="11"/>
      <c r="I2333" s="12">
        <v>11</v>
      </c>
      <c r="J2333" s="12">
        <v>24</v>
      </c>
      <c r="K2333" s="13" t="str">
        <f>HYPERLINK("https://www.echobox.com","Echobox Social")</f>
        <v>Echobox Social</v>
      </c>
      <c r="L2333" s="12">
        <v>109325</v>
      </c>
      <c r="M2333" s="12">
        <v>337</v>
      </c>
      <c r="N2333" s="12">
        <v>1420</v>
      </c>
      <c r="O2333" s="18" t="s">
        <v>52</v>
      </c>
      <c r="P2333" s="6">
        <v>42241.333229166667</v>
      </c>
      <c r="Q2333" s="11"/>
      <c r="R2333" s="17" t="s">
        <v>8317</v>
      </c>
      <c r="S2333" s="14" t="s">
        <v>8318</v>
      </c>
      <c r="T2333" s="11"/>
      <c r="U2333" s="10" t="str">
        <f>HYPERLINK("https://pbs.twimg.com/profile_images/789113773697208320/3LvFvi8Q.jpg","View")</f>
        <v>View</v>
      </c>
    </row>
    <row r="2334" spans="1:21" ht="40.799999999999997">
      <c r="A2334" s="6">
        <v>43424.303425925929</v>
      </c>
      <c r="B2334" s="7" t="str">
        <f>HYPERLINK("https://twitter.com/Um7bjTw","@Um7bjTw")</f>
        <v>@Um7bjTw</v>
      </c>
      <c r="C2334" s="8" t="s">
        <v>7526</v>
      </c>
      <c r="D2334" s="9" t="s">
        <v>8319</v>
      </c>
      <c r="E2334" s="10" t="str">
        <f>HYPERLINK("https://twitter.com/Um7bjTw/status/1064900406386483200","1064900406386483200")</f>
        <v>1064900406386483200</v>
      </c>
      <c r="F2334" s="14" t="s">
        <v>8320</v>
      </c>
      <c r="G2334" s="11"/>
      <c r="H2334" s="11"/>
      <c r="I2334" s="12">
        <v>0</v>
      </c>
      <c r="J2334" s="12">
        <v>0</v>
      </c>
      <c r="K2334" s="13" t="str">
        <f>HYPERLINK("https://www.google.com/","Google")</f>
        <v>Google</v>
      </c>
      <c r="L2334" s="12">
        <v>802</v>
      </c>
      <c r="M2334" s="12">
        <v>441</v>
      </c>
      <c r="N2334" s="12">
        <v>7</v>
      </c>
      <c r="O2334" s="15"/>
      <c r="P2334" s="6">
        <v>42734.23572916667</v>
      </c>
      <c r="Q2334" s="11"/>
      <c r="R2334" s="17" t="s">
        <v>7529</v>
      </c>
      <c r="S2334" s="14" t="s">
        <v>7530</v>
      </c>
      <c r="T2334" s="11"/>
      <c r="U2334" s="10" t="str">
        <f>HYPERLINK("https://pbs.twimg.com/profile_images/1062421967184318464/y4ANpBOM.jpg","View")</f>
        <v>View</v>
      </c>
    </row>
    <row r="2335" spans="1:21" ht="30.6">
      <c r="A2335" s="6">
        <v>43424.302731481483</v>
      </c>
      <c r="B2335" s="7" t="str">
        <f>HYPERLINK("https://twitter.com/Albert_Foxxx","@Albert_Foxxx")</f>
        <v>@Albert_Foxxx</v>
      </c>
      <c r="C2335" s="8" t="s">
        <v>4086</v>
      </c>
      <c r="D2335" s="9" t="s">
        <v>8321</v>
      </c>
      <c r="E2335" s="10" t="str">
        <f>HYPERLINK("https://twitter.com/Albert_Foxxx/status/1064900156661866496","1064900156661866496")</f>
        <v>1064900156661866496</v>
      </c>
      <c r="F2335" s="11"/>
      <c r="G2335" s="11"/>
      <c r="H2335" s="11"/>
      <c r="I2335" s="12">
        <v>1</v>
      </c>
      <c r="J2335" s="12">
        <v>0</v>
      </c>
      <c r="K2335" s="13" t="str">
        <f>HYPERLINK("http://twitter.com","Twitter Web Client")</f>
        <v>Twitter Web Client</v>
      </c>
      <c r="L2335" s="12">
        <v>2067</v>
      </c>
      <c r="M2335" s="12">
        <v>4995</v>
      </c>
      <c r="N2335" s="12">
        <v>30</v>
      </c>
      <c r="O2335" s="15"/>
      <c r="P2335" s="6">
        <v>40814.413912037038</v>
      </c>
      <c r="Q2335" s="16" t="s">
        <v>1188</v>
      </c>
      <c r="R2335" s="17" t="s">
        <v>4089</v>
      </c>
      <c r="S2335" s="11"/>
      <c r="T2335" s="11"/>
      <c r="U2335" s="10" t="str">
        <f>HYPERLINK("https://pbs.twimg.com/profile_images/1010547135136362496/i61LPDSG.jpg","View")</f>
        <v>View</v>
      </c>
    </row>
    <row r="2336" spans="1:21" ht="61.2">
      <c r="A2336" s="6">
        <v>43424.302291666667</v>
      </c>
      <c r="B2336" s="7" t="str">
        <f>HYPERLINK("https://twitter.com/almendramostaza","@almendramostaza")</f>
        <v>@almendramostaza</v>
      </c>
      <c r="C2336" s="8" t="s">
        <v>3340</v>
      </c>
      <c r="D2336" s="9" t="s">
        <v>5293</v>
      </c>
      <c r="E2336" s="10" t="str">
        <f>HYPERLINK("https://twitter.com/almendramostaza/status/1064899995017596928","1064899995017596928")</f>
        <v>1064899995017596928</v>
      </c>
      <c r="F2336" s="14" t="s">
        <v>5296</v>
      </c>
      <c r="G2336" s="14" t="s">
        <v>5297</v>
      </c>
      <c r="H2336" s="11"/>
      <c r="I2336" s="12">
        <v>1</v>
      </c>
      <c r="J2336" s="12">
        <v>1</v>
      </c>
      <c r="K2336" s="13" t="str">
        <f>HYPERLINK("http://twitter.com/download/android","Twitter for Android")</f>
        <v>Twitter for Android</v>
      </c>
      <c r="L2336" s="12">
        <v>4473</v>
      </c>
      <c r="M2336" s="12">
        <v>4253</v>
      </c>
      <c r="N2336" s="12">
        <v>56</v>
      </c>
      <c r="O2336" s="15"/>
      <c r="P2336" s="6">
        <v>40214.830266203702</v>
      </c>
      <c r="Q2336" s="16" t="s">
        <v>620</v>
      </c>
      <c r="R2336" s="17" t="s">
        <v>3343</v>
      </c>
      <c r="S2336" s="11"/>
      <c r="T2336" s="11"/>
      <c r="U2336" s="10" t="str">
        <f>HYPERLINK("https://pbs.twimg.com/profile_images/575454043268481025/7VDSKif8.jpeg","View")</f>
        <v>View</v>
      </c>
    </row>
    <row r="2337" spans="1:21" ht="30.6">
      <c r="A2337" s="6">
        <v>43424.301469907412</v>
      </c>
      <c r="B2337" s="7" t="str">
        <f>HYPERLINK("https://twitter.com/podemasfercval","@podemasfercval")</f>
        <v>@podemasfercval</v>
      </c>
      <c r="C2337" s="8" t="s">
        <v>8322</v>
      </c>
      <c r="D2337" s="9" t="s">
        <v>8323</v>
      </c>
      <c r="E2337" s="10" t="str">
        <f>HYPERLINK("https://twitter.com/podemasfercval/status/1064899698694254592","1064899698694254592")</f>
        <v>1064899698694254592</v>
      </c>
      <c r="F2337" s="14" t="s">
        <v>8117</v>
      </c>
      <c r="G2337" s="11"/>
      <c r="H2337" s="11"/>
      <c r="I2337" s="12">
        <v>0</v>
      </c>
      <c r="J2337" s="12">
        <v>0</v>
      </c>
      <c r="K2337" s="13" t="str">
        <f>HYPERLINK("http://www.facebook.com/twitter","Facebook")</f>
        <v>Facebook</v>
      </c>
      <c r="L2337" s="12">
        <v>45</v>
      </c>
      <c r="M2337" s="12">
        <v>73</v>
      </c>
      <c r="N2337" s="12">
        <v>0</v>
      </c>
      <c r="O2337" s="15"/>
      <c r="P2337" s="6">
        <v>42066.443379629629</v>
      </c>
      <c r="Q2337" s="16" t="s">
        <v>123</v>
      </c>
      <c r="R2337" s="17" t="s">
        <v>8324</v>
      </c>
      <c r="S2337" s="11"/>
      <c r="T2337" s="11"/>
      <c r="U2337" s="10" t="str">
        <f>HYPERLINK("https://pbs.twimg.com/profile_images/690997133827252225/mp1Fw2L2.jpg","View")</f>
        <v>View</v>
      </c>
    </row>
    <row r="2338" spans="1:21" ht="61.2">
      <c r="A2338" s="6">
        <v>43424.301053240742</v>
      </c>
      <c r="B2338" s="7" t="str">
        <f>HYPERLINK("https://twitter.com/Econews20","@Econews20")</f>
        <v>@Econews20</v>
      </c>
      <c r="C2338" s="8" t="s">
        <v>5301</v>
      </c>
      <c r="D2338" s="9" t="s">
        <v>5302</v>
      </c>
      <c r="E2338" s="10" t="str">
        <f>HYPERLINK("https://twitter.com/Econews20/status/1064899548307513345","1064899548307513345")</f>
        <v>1064899548307513345</v>
      </c>
      <c r="F2338" s="11"/>
      <c r="G2338" s="11"/>
      <c r="H2338" s="11"/>
      <c r="I2338" s="12">
        <v>0</v>
      </c>
      <c r="J2338" s="12">
        <v>0</v>
      </c>
      <c r="K2338" s="13" t="str">
        <f>HYPERLINK("http://twitter.com/download/android","Twitter for Android")</f>
        <v>Twitter for Android</v>
      </c>
      <c r="L2338" s="12">
        <v>10</v>
      </c>
      <c r="M2338" s="12">
        <v>38</v>
      </c>
      <c r="N2338" s="12">
        <v>0</v>
      </c>
      <c r="O2338" s="15"/>
      <c r="P2338" s="6">
        <v>43417.104166666672</v>
      </c>
      <c r="Q2338" s="16" t="s">
        <v>28</v>
      </c>
      <c r="R2338" s="17" t="s">
        <v>5306</v>
      </c>
      <c r="S2338" s="11"/>
      <c r="T2338" s="11"/>
      <c r="U2338" s="10" t="str">
        <f>HYPERLINK("https://pbs.twimg.com/profile_images/1062295726632431616/EjZA9lLt.jpg","View")</f>
        <v>View</v>
      </c>
    </row>
    <row r="2339" spans="1:21" ht="40.799999999999997">
      <c r="A2339" s="6">
        <v>43424.29965277778</v>
      </c>
      <c r="B2339" s="7" t="str">
        <f>HYPERLINK("https://twitter.com/LiliLopezForesi","@LiliLopezForesi")</f>
        <v>@LiliLopezForesi</v>
      </c>
      <c r="C2339" s="8" t="s">
        <v>8325</v>
      </c>
      <c r="D2339" s="9" t="s">
        <v>8326</v>
      </c>
      <c r="E2339" s="10" t="str">
        <f>HYPERLINK("https://twitter.com/LiliLopezForesi/status/1064899037545955328","1064899037545955328")</f>
        <v>1064899037545955328</v>
      </c>
      <c r="F2339" s="14" t="s">
        <v>8327</v>
      </c>
      <c r="G2339" s="11"/>
      <c r="H2339" s="11"/>
      <c r="I2339" s="12">
        <v>8</v>
      </c>
      <c r="J2339" s="12">
        <v>12</v>
      </c>
      <c r="K2339" s="13" t="str">
        <f>HYPERLINK("http://www.facebook.com/twitter","Facebook")</f>
        <v>Facebook</v>
      </c>
      <c r="L2339" s="12">
        <v>12394</v>
      </c>
      <c r="M2339" s="12">
        <v>1323</v>
      </c>
      <c r="N2339" s="12">
        <v>62</v>
      </c>
      <c r="O2339" s="15"/>
      <c r="P2339" s="6">
        <v>41388.313692129632</v>
      </c>
      <c r="Q2339" s="16" t="s">
        <v>6830</v>
      </c>
      <c r="R2339" s="17" t="s">
        <v>8328</v>
      </c>
      <c r="S2339" s="14" t="s">
        <v>8329</v>
      </c>
      <c r="T2339" s="11"/>
      <c r="U2339" s="10" t="str">
        <f>HYPERLINK("https://pbs.twimg.com/profile_images/1005836707495862272/cOohRINM.jpg","View")</f>
        <v>View</v>
      </c>
    </row>
    <row r="2340" spans="1:21" ht="40.799999999999997">
      <c r="A2340" s="6">
        <v>43424.297430555554</v>
      </c>
      <c r="B2340" s="7" t="str">
        <f>HYPERLINK("https://twitter.com/cansinarubia","@cansinarubia")</f>
        <v>@cansinarubia</v>
      </c>
      <c r="C2340" s="8" t="s">
        <v>8330</v>
      </c>
      <c r="D2340" s="9" t="s">
        <v>8331</v>
      </c>
      <c r="E2340" s="10" t="str">
        <f>HYPERLINK("https://twitter.com/cansinarubia/status/1064898232860446720","1064898232860446720")</f>
        <v>1064898232860446720</v>
      </c>
      <c r="F2340" s="11"/>
      <c r="G2340" s="14" t="s">
        <v>8332</v>
      </c>
      <c r="H2340" s="11"/>
      <c r="I2340" s="12">
        <v>0</v>
      </c>
      <c r="J2340" s="12">
        <v>5</v>
      </c>
      <c r="K2340" s="13" t="str">
        <f>HYPERLINK("http://twitter.com/download/android","Twitter for Android")</f>
        <v>Twitter for Android</v>
      </c>
      <c r="L2340" s="12">
        <v>2883</v>
      </c>
      <c r="M2340" s="12">
        <v>1957</v>
      </c>
      <c r="N2340" s="12">
        <v>9</v>
      </c>
      <c r="O2340" s="15"/>
      <c r="P2340" s="6">
        <v>43180.248495370368</v>
      </c>
      <c r="Q2340" s="11"/>
      <c r="R2340" s="17" t="s">
        <v>8333</v>
      </c>
      <c r="S2340" s="11"/>
      <c r="T2340" s="11"/>
      <c r="U2340" s="10" t="str">
        <f>HYPERLINK("https://pbs.twimg.com/profile_images/1064983737102942210/mQtjeywK.jpg","View")</f>
        <v>View</v>
      </c>
    </row>
    <row r="2341" spans="1:21" ht="30.6">
      <c r="A2341" s="6">
        <v>43424.297164351854</v>
      </c>
      <c r="B2341" s="7" t="str">
        <f>HYPERLINK("https://twitter.com/RamonMLGA","@RamonMLGA")</f>
        <v>@RamonMLGA</v>
      </c>
      <c r="C2341" s="8" t="s">
        <v>8334</v>
      </c>
      <c r="D2341" s="9" t="s">
        <v>8335</v>
      </c>
      <c r="E2341" s="10" t="str">
        <f>HYPERLINK("https://twitter.com/RamonMLGA/status/1064898136408317952","1064898136408317952")</f>
        <v>1064898136408317952</v>
      </c>
      <c r="F2341" s="14" t="s">
        <v>8051</v>
      </c>
      <c r="G2341" s="11"/>
      <c r="H2341" s="11"/>
      <c r="I2341" s="12">
        <v>6</v>
      </c>
      <c r="J2341" s="12">
        <v>5</v>
      </c>
      <c r="K2341" s="13" t="str">
        <f>HYPERLINK("http://twitter.com/download/iphone","Twitter for iPhone")</f>
        <v>Twitter for iPhone</v>
      </c>
      <c r="L2341" s="12">
        <v>9937</v>
      </c>
      <c r="M2341" s="12">
        <v>5134</v>
      </c>
      <c r="N2341" s="12">
        <v>82</v>
      </c>
      <c r="O2341" s="15"/>
      <c r="P2341" s="6">
        <v>41993.259409722217</v>
      </c>
      <c r="Q2341" s="16" t="s">
        <v>3305</v>
      </c>
      <c r="R2341" s="17" t="s">
        <v>8336</v>
      </c>
      <c r="S2341" s="14" t="s">
        <v>8337</v>
      </c>
      <c r="T2341" s="11"/>
      <c r="U2341" s="10" t="str">
        <f>HYPERLINK("https://pbs.twimg.com/profile_images/1064883832757866496/YwnWCi4f.jpg","View")</f>
        <v>View</v>
      </c>
    </row>
    <row r="2342" spans="1:21" ht="51">
      <c r="A2342" s="6">
        <v>43424.297152777777</v>
      </c>
      <c r="B2342" s="7" t="str">
        <f>HYPERLINK("https://twitter.com/Pascual10A","@Pascual10A")</f>
        <v>@Pascual10A</v>
      </c>
      <c r="C2342" s="8" t="s">
        <v>8338</v>
      </c>
      <c r="D2342" s="9" t="s">
        <v>8339</v>
      </c>
      <c r="E2342" s="10" t="str">
        <f>HYPERLINK("https://twitter.com/Pascual10A/status/1064898133270908929","1064898133270908929")</f>
        <v>1064898133270908929</v>
      </c>
      <c r="F2342" s="14" t="s">
        <v>8051</v>
      </c>
      <c r="G2342" s="11"/>
      <c r="H2342" s="11"/>
      <c r="I2342" s="12">
        <v>43</v>
      </c>
      <c r="J2342" s="12">
        <v>29</v>
      </c>
      <c r="K2342" s="13" t="str">
        <f t="shared" ref="K2342:K2343" si="487">HYPERLINK("http://twitter.com/download/android","Twitter for Android")</f>
        <v>Twitter for Android</v>
      </c>
      <c r="L2342" s="12">
        <v>6324</v>
      </c>
      <c r="M2342" s="12">
        <v>4993</v>
      </c>
      <c r="N2342" s="12">
        <v>42</v>
      </c>
      <c r="O2342" s="15"/>
      <c r="P2342" s="6">
        <v>42002.162800925929</v>
      </c>
      <c r="Q2342" s="11"/>
      <c r="R2342" s="17" t="s">
        <v>8340</v>
      </c>
      <c r="S2342" s="11"/>
      <c r="T2342" s="11"/>
      <c r="U2342" s="10" t="str">
        <f>HYPERLINK("https://pbs.twimg.com/profile_images/1009852379716562947/-ASQb_af.jpg","View")</f>
        <v>View</v>
      </c>
    </row>
    <row r="2343" spans="1:21" ht="51">
      <c r="A2343" s="6">
        <v>43424.2965625</v>
      </c>
      <c r="B2343" s="7" t="str">
        <f>HYPERLINK("https://twitter.com/YoSoyGuapi","@YoSoyGuapi")</f>
        <v>@YoSoyGuapi</v>
      </c>
      <c r="C2343" s="8" t="s">
        <v>8341</v>
      </c>
      <c r="D2343" s="9" t="s">
        <v>8342</v>
      </c>
      <c r="E2343" s="10" t="str">
        <f>HYPERLINK("https://twitter.com/YoSoyGuapi/status/1064897919147487233","1064897919147487233")</f>
        <v>1064897919147487233</v>
      </c>
      <c r="F2343" s="11"/>
      <c r="G2343" s="11"/>
      <c r="H2343" s="11"/>
      <c r="I2343" s="12">
        <v>0</v>
      </c>
      <c r="J2343" s="12">
        <v>5</v>
      </c>
      <c r="K2343" s="13" t="str">
        <f t="shared" si="487"/>
        <v>Twitter for Android</v>
      </c>
      <c r="L2343" s="12">
        <v>503</v>
      </c>
      <c r="M2343" s="12">
        <v>379</v>
      </c>
      <c r="N2343" s="12">
        <v>8</v>
      </c>
      <c r="O2343" s="15"/>
      <c r="P2343" s="6">
        <v>41340.622245370367</v>
      </c>
      <c r="Q2343" s="16" t="s">
        <v>8343</v>
      </c>
      <c r="R2343" s="17" t="s">
        <v>8344</v>
      </c>
      <c r="S2343" s="11"/>
      <c r="T2343" s="11"/>
      <c r="U2343" s="10" t="str">
        <f>HYPERLINK("https://pbs.twimg.com/profile_images/1049382348087812096/cnyLt08U.jpg","View")</f>
        <v>View</v>
      </c>
    </row>
    <row r="2344" spans="1:21" ht="20.399999999999999">
      <c r="A2344" s="6">
        <v>43424.295393518521</v>
      </c>
      <c r="B2344" s="7" t="str">
        <f>HYPERLINK("https://twitter.com/EDUARDOLEOPOL17","@EDUARDOLEOPOL17")</f>
        <v>@EDUARDOLEOPOL17</v>
      </c>
      <c r="C2344" s="8" t="s">
        <v>2152</v>
      </c>
      <c r="D2344" s="9" t="s">
        <v>7831</v>
      </c>
      <c r="E2344" s="10" t="str">
        <f>HYPERLINK("https://twitter.com/EDUARDOLEOPOL17/status/1064897495204052992","1064897495204052992")</f>
        <v>1064897495204052992</v>
      </c>
      <c r="F2344" s="14" t="s">
        <v>7832</v>
      </c>
      <c r="G2344" s="11"/>
      <c r="H2344" s="11"/>
      <c r="I2344" s="12">
        <v>0</v>
      </c>
      <c r="J2344" s="12">
        <v>0</v>
      </c>
      <c r="K2344" s="13" t="str">
        <f>HYPERLINK("http://twitter.com","Twitter Web Client")</f>
        <v>Twitter Web Client</v>
      </c>
      <c r="L2344" s="12">
        <v>346</v>
      </c>
      <c r="M2344" s="12">
        <v>348</v>
      </c>
      <c r="N2344" s="12">
        <v>2</v>
      </c>
      <c r="O2344" s="15"/>
      <c r="P2344" s="6">
        <v>43287.722662037035</v>
      </c>
      <c r="Q2344" s="16" t="s">
        <v>27</v>
      </c>
      <c r="R2344" s="19"/>
      <c r="S2344" s="11"/>
      <c r="T2344" s="11"/>
      <c r="U2344" s="10" t="str">
        <f>HYPERLINK("https://pbs.twimg.com/profile_images/1034197770616352768/aEVoRqKT.jpg","View")</f>
        <v>View</v>
      </c>
    </row>
    <row r="2345" spans="1:21" ht="20.399999999999999">
      <c r="A2345" s="6">
        <v>43424.294467592597</v>
      </c>
      <c r="B2345" s="7" t="str">
        <f>HYPERLINK("https://twitter.com/NoticieroUniv","@NoticieroUniv")</f>
        <v>@NoticieroUniv</v>
      </c>
      <c r="C2345" s="8" t="s">
        <v>400</v>
      </c>
      <c r="D2345" s="9" t="s">
        <v>8345</v>
      </c>
      <c r="E2345" s="10" t="str">
        <f>HYPERLINK("https://twitter.com/NoticieroUniv/status/1064897161631014913","1064897161631014913")</f>
        <v>1064897161631014913</v>
      </c>
      <c r="F2345" s="14" t="s">
        <v>8346</v>
      </c>
      <c r="G2345" s="11"/>
      <c r="H2345" s="11"/>
      <c r="I2345" s="12">
        <v>0</v>
      </c>
      <c r="J2345" s="12">
        <v>0</v>
      </c>
      <c r="K2345" s="13" t="str">
        <f>HYPERLINK("https://noticierouniversal.com/","NoticieroUniversal")</f>
        <v>NoticieroUniversal</v>
      </c>
      <c r="L2345" s="12">
        <v>1080</v>
      </c>
      <c r="M2345" s="12">
        <v>36</v>
      </c>
      <c r="N2345" s="12">
        <v>21</v>
      </c>
      <c r="O2345" s="15"/>
      <c r="P2345" s="6">
        <v>42402.172939814816</v>
      </c>
      <c r="Q2345" s="16" t="s">
        <v>406</v>
      </c>
      <c r="R2345" s="17" t="s">
        <v>408</v>
      </c>
      <c r="S2345" s="14" t="s">
        <v>410</v>
      </c>
      <c r="T2345" s="11"/>
      <c r="U2345" s="10" t="str">
        <f>HYPERLINK("https://pbs.twimg.com/profile_images/719648419925594113/OnR0XNMn.jpg","View")</f>
        <v>View</v>
      </c>
    </row>
    <row r="2346" spans="1:21" ht="20.399999999999999">
      <c r="A2346" s="6">
        <v>43424.293738425928</v>
      </c>
      <c r="B2346" s="7" t="str">
        <f>HYPERLINK("https://twitter.com/begoa36","@begoa36")</f>
        <v>@begoa36</v>
      </c>
      <c r="C2346" s="8" t="s">
        <v>3840</v>
      </c>
      <c r="D2346" s="9" t="s">
        <v>1302</v>
      </c>
      <c r="E2346" s="10" t="str">
        <f>HYPERLINK("https://twitter.com/begoa36/status/1064896897675132928","1064896897675132928")</f>
        <v>1064896897675132928</v>
      </c>
      <c r="F2346" s="14" t="s">
        <v>8347</v>
      </c>
      <c r="G2346" s="11"/>
      <c r="H2346" s="11"/>
      <c r="I2346" s="12">
        <v>0</v>
      </c>
      <c r="J2346" s="12">
        <v>0</v>
      </c>
      <c r="K2346" s="13" t="str">
        <f>HYPERLINK("http://twitter.com","Twitter Web Client")</f>
        <v>Twitter Web Client</v>
      </c>
      <c r="L2346" s="12">
        <v>284</v>
      </c>
      <c r="M2346" s="12">
        <v>112</v>
      </c>
      <c r="N2346" s="12">
        <v>4</v>
      </c>
      <c r="O2346" s="15"/>
      <c r="P2346" s="6">
        <v>40806.454166666663</v>
      </c>
      <c r="Q2346" s="16" t="s">
        <v>3843</v>
      </c>
      <c r="R2346" s="19"/>
      <c r="S2346" s="11"/>
      <c r="T2346" s="11"/>
      <c r="U2346" s="10" t="str">
        <f>HYPERLINK("https://pbs.twimg.com/profile_images/1039993218191044609/uHWsP2m8.jpg","View")</f>
        <v>View</v>
      </c>
    </row>
    <row r="2347" spans="1:21" ht="40.799999999999997">
      <c r="A2347" s="6">
        <v>43424.292962962965</v>
      </c>
      <c r="B2347" s="7" t="str">
        <f>HYPERLINK("https://twitter.com/Jota_POV","@Jota_POV")</f>
        <v>@Jota_POV</v>
      </c>
      <c r="C2347" s="8" t="s">
        <v>4557</v>
      </c>
      <c r="D2347" s="9" t="s">
        <v>8348</v>
      </c>
      <c r="E2347" s="10" t="str">
        <f>HYPERLINK("https://twitter.com/Jota_POV/status/1064896614001709057","1064896614001709057")</f>
        <v>1064896614001709057</v>
      </c>
      <c r="F2347" s="14" t="s">
        <v>8349</v>
      </c>
      <c r="G2347" s="14" t="s">
        <v>8350</v>
      </c>
      <c r="H2347" s="11"/>
      <c r="I2347" s="12">
        <v>0</v>
      </c>
      <c r="J2347" s="12">
        <v>0</v>
      </c>
      <c r="K2347" s="13" t="str">
        <f>HYPERLINK("http://publicize.wp.com/","WordPress.com")</f>
        <v>WordPress.com</v>
      </c>
      <c r="L2347" s="12">
        <v>4520</v>
      </c>
      <c r="M2347" s="12">
        <v>3201</v>
      </c>
      <c r="N2347" s="12">
        <v>50</v>
      </c>
      <c r="O2347" s="15"/>
      <c r="P2347" s="6">
        <v>41980.506006944444</v>
      </c>
      <c r="Q2347" s="11"/>
      <c r="R2347" s="17" t="s">
        <v>4563</v>
      </c>
      <c r="S2347" s="14" t="s">
        <v>4564</v>
      </c>
      <c r="T2347" s="11"/>
      <c r="U2347" s="10" t="str">
        <f>HYPERLINK("https://pbs.twimg.com/profile_images/947892020210798592/Rl5Z9RiM.jpg","View")</f>
        <v>View</v>
      </c>
    </row>
    <row r="2348" spans="1:21" ht="51">
      <c r="A2348" s="6">
        <v>43424.291655092587</v>
      </c>
      <c r="B2348" s="7" t="str">
        <f>HYPERLINK("https://twitter.com/Pablo_Iglesias_","@Pablo_Iglesias_")</f>
        <v>@Pablo_Iglesias_</v>
      </c>
      <c r="C2348" s="8" t="s">
        <v>383</v>
      </c>
      <c r="D2348" s="9" t="s">
        <v>8351</v>
      </c>
      <c r="E2348" s="10" t="str">
        <f>HYPERLINK("https://twitter.com/Pablo_Iglesias_/status/1064896140020252672","1064896140020252672")</f>
        <v>1064896140020252672</v>
      </c>
      <c r="F2348" s="11"/>
      <c r="G2348" s="14" t="s">
        <v>4258</v>
      </c>
      <c r="H2348" s="11"/>
      <c r="I2348" s="12">
        <v>575</v>
      </c>
      <c r="J2348" s="12">
        <v>990</v>
      </c>
      <c r="K2348" s="13" t="str">
        <f>HYPERLINK("https://studio.twitter.com","Media Studio")</f>
        <v>Media Studio</v>
      </c>
      <c r="L2348" s="12">
        <v>2240182</v>
      </c>
      <c r="M2348" s="12">
        <v>2735</v>
      </c>
      <c r="N2348" s="12">
        <v>8469</v>
      </c>
      <c r="O2348" s="18" t="s">
        <v>52</v>
      </c>
      <c r="P2348" s="6">
        <v>40351.200300925928</v>
      </c>
      <c r="Q2348" s="16" t="s">
        <v>38</v>
      </c>
      <c r="R2348" s="17" t="s">
        <v>389</v>
      </c>
      <c r="S2348" s="14" t="s">
        <v>58</v>
      </c>
      <c r="T2348" s="11"/>
      <c r="U2348" s="10" t="str">
        <f>HYPERLINK("https://pbs.twimg.com/profile_images/902223370569338884/dL2D2A5P.jpg","View")</f>
        <v>View</v>
      </c>
    </row>
    <row r="2349" spans="1:21" ht="71.400000000000006">
      <c r="A2349" s="6">
        <v>43424.28805555556</v>
      </c>
      <c r="B2349" s="7" t="str">
        <f>HYPERLINK("https://twitter.com/laiast92","@laiast92")</f>
        <v>@laiast92</v>
      </c>
      <c r="C2349" s="8" t="s">
        <v>5310</v>
      </c>
      <c r="D2349" s="9" t="s">
        <v>5311</v>
      </c>
      <c r="E2349" s="10" t="str">
        <f>HYPERLINK("https://twitter.com/laiast92/status/1064894835168067584","1064894835168067584")</f>
        <v>1064894835168067584</v>
      </c>
      <c r="F2349" s="16" t="s">
        <v>5312</v>
      </c>
      <c r="G2349" s="11"/>
      <c r="H2349" s="11"/>
      <c r="I2349" s="12">
        <v>0</v>
      </c>
      <c r="J2349" s="12">
        <v>0</v>
      </c>
      <c r="K2349" s="13" t="str">
        <f>HYPERLINK("http://twitter.com/download/android","Twitter for Android")</f>
        <v>Twitter for Android</v>
      </c>
      <c r="L2349" s="12">
        <v>179</v>
      </c>
      <c r="M2349" s="12">
        <v>785</v>
      </c>
      <c r="N2349" s="12">
        <v>3</v>
      </c>
      <c r="O2349" s="15"/>
      <c r="P2349" s="6">
        <v>43039.313101851847</v>
      </c>
      <c r="Q2349" s="16" t="s">
        <v>5314</v>
      </c>
      <c r="R2349" s="17" t="s">
        <v>5315</v>
      </c>
      <c r="S2349" s="16" t="s">
        <v>5316</v>
      </c>
      <c r="T2349" s="11"/>
      <c r="U2349" s="10" t="str">
        <f>HYPERLINK("https://pbs.twimg.com/profile_images/977296883709341697/zd11_m8t.jpg","View")</f>
        <v>View</v>
      </c>
    </row>
    <row r="2350" spans="1:21" ht="40.799999999999997">
      <c r="A2350" s="6">
        <v>43424.287986111114</v>
      </c>
      <c r="B2350" s="7" t="str">
        <f>HYPERLINK("https://twitter.com/buen_ppero","@buen_ppero")</f>
        <v>@buen_ppero</v>
      </c>
      <c r="C2350" s="8" t="s">
        <v>4537</v>
      </c>
      <c r="D2350" s="9" t="s">
        <v>5317</v>
      </c>
      <c r="E2350" s="10" t="str">
        <f>HYPERLINK("https://twitter.com/buen_ppero/status/1064894810732019714","1064894810732019714")</f>
        <v>1064894810732019714</v>
      </c>
      <c r="F2350" s="11"/>
      <c r="G2350" s="11"/>
      <c r="H2350" s="11"/>
      <c r="I2350" s="12">
        <v>0</v>
      </c>
      <c r="J2350" s="12">
        <v>0</v>
      </c>
      <c r="K2350" s="13" t="str">
        <f>HYPERLINK("http://twitter.com/download/iphone","Twitter for iPhone")</f>
        <v>Twitter for iPhone</v>
      </c>
      <c r="L2350" s="12">
        <v>24</v>
      </c>
      <c r="M2350" s="12">
        <v>100</v>
      </c>
      <c r="N2350" s="12">
        <v>1</v>
      </c>
      <c r="O2350" s="15"/>
      <c r="P2350" s="6">
        <v>42706.628368055557</v>
      </c>
      <c r="Q2350" s="16" t="s">
        <v>87</v>
      </c>
      <c r="R2350" s="17" t="s">
        <v>4539</v>
      </c>
      <c r="S2350" s="11"/>
      <c r="T2350" s="11"/>
      <c r="U2350" s="10" t="str">
        <f>HYPERLINK("https://pbs.twimg.com/profile_images/804826205363011588/_nTm3teb.jpg","View")</f>
        <v>View</v>
      </c>
    </row>
    <row r="2351" spans="1:21" ht="40.799999999999997">
      <c r="A2351" s="6">
        <v>43424.284317129626</v>
      </c>
      <c r="B2351" s="7" t="str">
        <f>HYPERLINK("https://twitter.com/brubeaker","@brubeaker")</f>
        <v>@brubeaker</v>
      </c>
      <c r="C2351" s="8" t="s">
        <v>7369</v>
      </c>
      <c r="D2351" s="9" t="s">
        <v>8352</v>
      </c>
      <c r="E2351" s="10" t="str">
        <f>HYPERLINK("https://twitter.com/brubeaker/status/1064893480114298881","1064893480114298881")</f>
        <v>1064893480114298881</v>
      </c>
      <c r="F2351" s="11"/>
      <c r="G2351" s="11"/>
      <c r="H2351" s="11"/>
      <c r="I2351" s="12">
        <v>0</v>
      </c>
      <c r="J2351" s="12">
        <v>0</v>
      </c>
      <c r="K2351" s="13" t="str">
        <f t="shared" ref="K2351:K2352" si="488">HYPERLINK("http://twitter.com","Twitter Web Client")</f>
        <v>Twitter Web Client</v>
      </c>
      <c r="L2351" s="12">
        <v>39</v>
      </c>
      <c r="M2351" s="12">
        <v>163</v>
      </c>
      <c r="N2351" s="12">
        <v>2</v>
      </c>
      <c r="O2351" s="15"/>
      <c r="P2351" s="6">
        <v>41779.961550925924</v>
      </c>
      <c r="Q2351" s="11"/>
      <c r="R2351" s="17" t="s">
        <v>7372</v>
      </c>
      <c r="S2351" s="11"/>
      <c r="T2351" s="11"/>
      <c r="U2351" s="10" t="str">
        <f>HYPERLINK("https://pbs.twimg.com/profile_images/1036025081179332608/VWYH9QdS.jpg","View")</f>
        <v>View</v>
      </c>
    </row>
    <row r="2352" spans="1:21" ht="61.2">
      <c r="A2352" s="6">
        <v>43424.284155092595</v>
      </c>
      <c r="B2352" s="7" t="str">
        <f>HYPERLINK("https://twitter.com/NeroPaddilla","@NeroPaddilla")</f>
        <v>@NeroPaddilla</v>
      </c>
      <c r="C2352" s="8" t="s">
        <v>5321</v>
      </c>
      <c r="D2352" s="9" t="s">
        <v>5322</v>
      </c>
      <c r="E2352" s="10" t="str">
        <f>HYPERLINK("https://twitter.com/NeroPaddilla/status/1064893424233525248","1064893424233525248")</f>
        <v>1064893424233525248</v>
      </c>
      <c r="F2352" s="14" t="s">
        <v>106</v>
      </c>
      <c r="G2352" s="14" t="s">
        <v>107</v>
      </c>
      <c r="H2352" s="11"/>
      <c r="I2352" s="12">
        <v>0</v>
      </c>
      <c r="J2352" s="12">
        <v>0</v>
      </c>
      <c r="K2352" s="13" t="str">
        <f t="shared" si="488"/>
        <v>Twitter Web Client</v>
      </c>
      <c r="L2352" s="12">
        <v>530</v>
      </c>
      <c r="M2352" s="12">
        <v>1145</v>
      </c>
      <c r="N2352" s="12">
        <v>0</v>
      </c>
      <c r="O2352" s="15"/>
      <c r="P2352" s="6">
        <v>43177.394826388889</v>
      </c>
      <c r="Q2352" s="11"/>
      <c r="R2352" s="19"/>
      <c r="S2352" s="11"/>
      <c r="T2352" s="11"/>
      <c r="U2352" s="10" t="str">
        <f>HYPERLINK("https://pbs.twimg.com/profile_images/975414123369500672/1Q9skH_w.jpg","View")</f>
        <v>View</v>
      </c>
    </row>
    <row r="2353" spans="1:21" ht="40.799999999999997">
      <c r="A2353" s="6">
        <v>43424.283136574071</v>
      </c>
      <c r="B2353" s="7" t="str">
        <f>HYPERLINK("https://twitter.com/deliverycombo","@deliverycombo")</f>
        <v>@deliverycombo</v>
      </c>
      <c r="C2353" s="8" t="s">
        <v>8353</v>
      </c>
      <c r="D2353" s="9" t="s">
        <v>8354</v>
      </c>
      <c r="E2353" s="10" t="str">
        <f>HYPERLINK("https://twitter.com/deliverycombo/status/1064893054816002049","1064893054816002049")</f>
        <v>1064893054816002049</v>
      </c>
      <c r="F2353" s="14" t="s">
        <v>8355</v>
      </c>
      <c r="G2353" s="11"/>
      <c r="H2353" s="11"/>
      <c r="I2353" s="12">
        <v>0</v>
      </c>
      <c r="J2353" s="12">
        <v>0</v>
      </c>
      <c r="K2353" s="13" t="str">
        <f>HYPERLINK("http://www.facebook.com/twitter","Facebook")</f>
        <v>Facebook</v>
      </c>
      <c r="L2353" s="12">
        <v>87</v>
      </c>
      <c r="M2353" s="12">
        <v>423</v>
      </c>
      <c r="N2353" s="12">
        <v>0</v>
      </c>
      <c r="O2353" s="15"/>
      <c r="P2353" s="6">
        <v>40246.402037037034</v>
      </c>
      <c r="Q2353" s="16" t="s">
        <v>8356</v>
      </c>
      <c r="R2353" s="17" t="s">
        <v>8357</v>
      </c>
      <c r="S2353" s="14" t="s">
        <v>8358</v>
      </c>
      <c r="T2353" s="11"/>
      <c r="U2353" s="10" t="str">
        <f>HYPERLINK("https://pbs.twimg.com/profile_images/1005442669/logo1.jpg","View")</f>
        <v>View</v>
      </c>
    </row>
    <row r="2354" spans="1:21" ht="40.799999999999997">
      <c r="A2354" s="6">
        <v>43424.283032407402</v>
      </c>
      <c r="B2354" s="7" t="str">
        <f>HYPERLINK("https://twitter.com/HAPLOelruniko","@HAPLOelruniko")</f>
        <v>@HAPLOelruniko</v>
      </c>
      <c r="C2354" s="8" t="s">
        <v>8359</v>
      </c>
      <c r="D2354" s="9" t="s">
        <v>7121</v>
      </c>
      <c r="E2354" s="10" t="str">
        <f>HYPERLINK("https://twitter.com/HAPLOelruniko/status/1064893014831755266","1064893014831755266")</f>
        <v>1064893014831755266</v>
      </c>
      <c r="F2354" s="14" t="s">
        <v>5336</v>
      </c>
      <c r="G2354" s="11"/>
      <c r="H2354" s="11"/>
      <c r="I2354" s="12">
        <v>0</v>
      </c>
      <c r="J2354" s="12">
        <v>0</v>
      </c>
      <c r="K2354" s="13" t="str">
        <f>HYPERLINK("http://twitter.com","Twitter Web Client")</f>
        <v>Twitter Web Client</v>
      </c>
      <c r="L2354" s="12">
        <v>175</v>
      </c>
      <c r="M2354" s="12">
        <v>177</v>
      </c>
      <c r="N2354" s="12">
        <v>3</v>
      </c>
      <c r="O2354" s="15"/>
      <c r="P2354" s="6">
        <v>42382.372337962966</v>
      </c>
      <c r="Q2354" s="16" t="s">
        <v>8360</v>
      </c>
      <c r="R2354" s="17" t="s">
        <v>8361</v>
      </c>
      <c r="S2354" s="14" t="s">
        <v>8362</v>
      </c>
      <c r="T2354" s="11"/>
      <c r="U2354" s="10" t="str">
        <f>HYPERLINK("https://pbs.twimg.com/profile_images/687319299837542400/Xgg-aUTq.jpg","View")</f>
        <v>View</v>
      </c>
    </row>
    <row r="2355" spans="1:21" ht="20.399999999999999">
      <c r="A2355" s="6">
        <v>43424.282037037032</v>
      </c>
      <c r="B2355" s="7" t="str">
        <f>HYPERLINK("https://twitter.com/OdinT707","@OdinT707")</f>
        <v>@OdinT707</v>
      </c>
      <c r="C2355" s="8" t="s">
        <v>8363</v>
      </c>
      <c r="D2355" s="9" t="s">
        <v>8364</v>
      </c>
      <c r="E2355" s="10" t="str">
        <f>HYPERLINK("https://twitter.com/OdinT707/status/1064892657586049024","1064892657586049024")</f>
        <v>1064892657586049024</v>
      </c>
      <c r="F2355" s="11"/>
      <c r="G2355" s="14" t="s">
        <v>107</v>
      </c>
      <c r="H2355" s="11"/>
      <c r="I2355" s="12">
        <v>569</v>
      </c>
      <c r="J2355" s="12">
        <v>438</v>
      </c>
      <c r="K2355" s="13" t="str">
        <f>HYPERLINK("http://twitter.com/download/android","Twitter for Android")</f>
        <v>Twitter for Android</v>
      </c>
      <c r="L2355" s="12">
        <v>8793</v>
      </c>
      <c r="M2355" s="12">
        <v>7715</v>
      </c>
      <c r="N2355" s="12">
        <v>52</v>
      </c>
      <c r="O2355" s="15"/>
      <c r="P2355" s="6">
        <v>42220.268229166672</v>
      </c>
      <c r="Q2355" s="16" t="s">
        <v>268</v>
      </c>
      <c r="R2355" s="17" t="s">
        <v>8365</v>
      </c>
      <c r="S2355" s="11"/>
      <c r="T2355" s="11"/>
      <c r="U2355" s="10" t="str">
        <f>HYPERLINK("https://pbs.twimg.com/profile_images/1037323717888696322/Oi2RsUZW.jpg","View")</f>
        <v>View</v>
      </c>
    </row>
    <row r="2356" spans="1:21" ht="51">
      <c r="A2356" s="6">
        <v>43424.280717592592</v>
      </c>
      <c r="B2356" s="7" t="str">
        <f>HYPERLINK("https://twitter.com/PodemosCongreso","@PodemosCongreso")</f>
        <v>@PodemosCongreso</v>
      </c>
      <c r="C2356" s="8" t="s">
        <v>4485</v>
      </c>
      <c r="D2356" s="9" t="s">
        <v>5324</v>
      </c>
      <c r="E2356" s="10" t="str">
        <f>HYPERLINK("https://twitter.com/PodemosCongreso/status/1064892175606050817","1064892175606050817")</f>
        <v>1064892175606050817</v>
      </c>
      <c r="F2356" s="11"/>
      <c r="G2356" s="14" t="s">
        <v>5325</v>
      </c>
      <c r="H2356" s="11"/>
      <c r="I2356" s="12">
        <v>348</v>
      </c>
      <c r="J2356" s="12">
        <v>397</v>
      </c>
      <c r="K2356" s="13" t="str">
        <f>HYPERLINK("https://studio.twitter.com","Media Studio")</f>
        <v>Media Studio</v>
      </c>
      <c r="L2356" s="12">
        <v>24464</v>
      </c>
      <c r="M2356" s="12">
        <v>987</v>
      </c>
      <c r="N2356" s="12">
        <v>288</v>
      </c>
      <c r="O2356" s="18" t="s">
        <v>52</v>
      </c>
      <c r="P2356" s="6">
        <v>42388.145625000005</v>
      </c>
      <c r="Q2356" s="11"/>
      <c r="R2356" s="17" t="s">
        <v>4489</v>
      </c>
      <c r="S2356" s="14" t="s">
        <v>4490</v>
      </c>
      <c r="T2356" s="11"/>
      <c r="U2356" s="10" t="str">
        <f>HYPERLINK("https://pbs.twimg.com/profile_images/1036944275748085760/MC4zMTIS.jpg","View")</f>
        <v>View</v>
      </c>
    </row>
    <row r="2357" spans="1:21" ht="20.399999999999999">
      <c r="A2357" s="6">
        <v>43424.277708333335</v>
      </c>
      <c r="B2357" s="7" t="str">
        <f>HYPERLINK("https://twitter.com/Esther32837485","@Esther32837485")</f>
        <v>@Esther32837485</v>
      </c>
      <c r="C2357" s="8" t="s">
        <v>2483</v>
      </c>
      <c r="D2357" s="9" t="s">
        <v>7848</v>
      </c>
      <c r="E2357" s="10" t="str">
        <f>HYPERLINK("https://twitter.com/Esther32837485/status/1064891085569384448","1064891085569384448")</f>
        <v>1064891085569384448</v>
      </c>
      <c r="F2357" s="14" t="s">
        <v>2122</v>
      </c>
      <c r="G2357" s="11"/>
      <c r="H2357" s="11"/>
      <c r="I2357" s="12">
        <v>0</v>
      </c>
      <c r="J2357" s="12">
        <v>0</v>
      </c>
      <c r="K2357" s="13" t="str">
        <f>HYPERLINK("http://twitter.com","Twitter Web Client")</f>
        <v>Twitter Web Client</v>
      </c>
      <c r="L2357" s="12">
        <v>15</v>
      </c>
      <c r="M2357" s="12">
        <v>34</v>
      </c>
      <c r="N2357" s="12">
        <v>0</v>
      </c>
      <c r="O2357" s="15"/>
      <c r="P2357" s="6">
        <v>43332.497395833328</v>
      </c>
      <c r="Q2357" s="11"/>
      <c r="R2357" s="19"/>
      <c r="S2357" s="11"/>
      <c r="T2357" s="11"/>
      <c r="U2357" s="10" t="str">
        <f>HYPERLINK("https://pbs.twimg.com/profile_images/1033419849010216960/y46lkeZi.jpg","View")</f>
        <v>View</v>
      </c>
    </row>
    <row r="2358" spans="1:21" ht="40.799999999999997">
      <c r="A2358" s="6">
        <v>43424.276921296296</v>
      </c>
      <c r="B2358" s="7" t="str">
        <f>HYPERLINK("https://twitter.com/elmundoes","@elmundoes")</f>
        <v>@elmundoes</v>
      </c>
      <c r="C2358" s="8" t="s">
        <v>1587</v>
      </c>
      <c r="D2358" s="9" t="s">
        <v>8366</v>
      </c>
      <c r="E2358" s="10" t="str">
        <f>HYPERLINK("https://twitter.com/elmundoes/status/1064890801904324609","1064890801904324609")</f>
        <v>1064890801904324609</v>
      </c>
      <c r="F2358" s="14" t="s">
        <v>8367</v>
      </c>
      <c r="G2358" s="11"/>
      <c r="H2358" s="11"/>
      <c r="I2358" s="12">
        <v>40</v>
      </c>
      <c r="J2358" s="12">
        <v>43</v>
      </c>
      <c r="K2358" s="13" t="str">
        <f>HYPERLINK("http://www.socialflow.com","SocialFlow")</f>
        <v>SocialFlow</v>
      </c>
      <c r="L2358" s="12">
        <v>3190367</v>
      </c>
      <c r="M2358" s="12">
        <v>1355</v>
      </c>
      <c r="N2358" s="12">
        <v>29571</v>
      </c>
      <c r="O2358" s="18" t="s">
        <v>52</v>
      </c>
      <c r="P2358" s="6">
        <v>39556.478761574072</v>
      </c>
      <c r="Q2358" s="16" t="s">
        <v>28</v>
      </c>
      <c r="R2358" s="17" t="s">
        <v>1590</v>
      </c>
      <c r="S2358" s="14" t="s">
        <v>1591</v>
      </c>
      <c r="T2358" s="11"/>
      <c r="U2358" s="10" t="str">
        <f>HYPERLINK("https://pbs.twimg.com/profile_images/959947259780747265/ez18J78k.jpg","View")</f>
        <v>View</v>
      </c>
    </row>
    <row r="2359" spans="1:21" ht="20.399999999999999">
      <c r="A2359" s="6">
        <v>43424.275960648149</v>
      </c>
      <c r="B2359" s="7" t="str">
        <f>HYPERLINK("https://twitter.com/negativo_stats","@negativo_stats")</f>
        <v>@negativo_stats</v>
      </c>
      <c r="C2359" s="8" t="s">
        <v>117</v>
      </c>
      <c r="D2359" s="9" t="s">
        <v>118</v>
      </c>
      <c r="E2359" s="10" t="str">
        <f>HYPERLINK("https://twitter.com/negativo_stats/status/1064890453852602370","1064890453852602370")</f>
        <v>1064890453852602370</v>
      </c>
      <c r="F2359" s="11"/>
      <c r="G2359" s="14" t="s">
        <v>5326</v>
      </c>
      <c r="H2359" s="11"/>
      <c r="I2359" s="12">
        <v>0</v>
      </c>
      <c r="J2359" s="12">
        <v>0</v>
      </c>
      <c r="K2359" s="13" t="str">
        <f>HYPERLINK("http://kosmonautica.es","Política Negativa")</f>
        <v>Política Negativa</v>
      </c>
      <c r="L2359" s="12">
        <v>256</v>
      </c>
      <c r="M2359" s="12">
        <v>694</v>
      </c>
      <c r="N2359" s="12">
        <v>2</v>
      </c>
      <c r="O2359" s="15"/>
      <c r="P2359" s="6">
        <v>42171.395601851851</v>
      </c>
      <c r="Q2359" s="16" t="s">
        <v>87</v>
      </c>
      <c r="R2359" s="17" t="s">
        <v>120</v>
      </c>
      <c r="S2359" s="11"/>
      <c r="T2359" s="11"/>
      <c r="U2359" s="10" t="str">
        <f>HYPERLINK("https://pbs.twimg.com/profile_images/628553625984438272/e-VHyhP1.png","View")</f>
        <v>View</v>
      </c>
    </row>
    <row r="2360" spans="1:21" ht="40.799999999999997">
      <c r="A2360" s="6">
        <v>43424.274953703702</v>
      </c>
      <c r="B2360" s="7" t="str">
        <f>HYPERLINK("https://twitter.com/rubenpina_","@rubenpina_")</f>
        <v>@rubenpina_</v>
      </c>
      <c r="C2360" s="8" t="s">
        <v>5327</v>
      </c>
      <c r="D2360" s="9" t="s">
        <v>5328</v>
      </c>
      <c r="E2360" s="10" t="str">
        <f>HYPERLINK("https://twitter.com/rubenpina_/status/1064890087601782784","1064890087601782784")</f>
        <v>1064890087601782784</v>
      </c>
      <c r="F2360" s="11"/>
      <c r="G2360" s="11"/>
      <c r="H2360" s="11"/>
      <c r="I2360" s="12">
        <v>0</v>
      </c>
      <c r="J2360" s="12">
        <v>0</v>
      </c>
      <c r="K2360" s="13" t="str">
        <f>HYPERLINK("http://twitter.com/download/iphone","Twitter for iPhone")</f>
        <v>Twitter for iPhone</v>
      </c>
      <c r="L2360" s="12">
        <v>149</v>
      </c>
      <c r="M2360" s="12">
        <v>808</v>
      </c>
      <c r="N2360" s="12">
        <v>2</v>
      </c>
      <c r="O2360" s="15"/>
      <c r="P2360" s="6">
        <v>42686.220590277779</v>
      </c>
      <c r="Q2360" s="11"/>
      <c r="R2360" s="17" t="s">
        <v>5329</v>
      </c>
      <c r="S2360" s="11"/>
      <c r="T2360" s="11"/>
      <c r="U2360" s="10" t="str">
        <f>HYPERLINK("https://pbs.twimg.com/profile_images/1061779125415874560/BV6hjInk.jpg","View")</f>
        <v>View</v>
      </c>
    </row>
    <row r="2361" spans="1:21" ht="20.399999999999999">
      <c r="A2361" s="6">
        <v>43424.272210648152</v>
      </c>
      <c r="B2361" s="7" t="str">
        <f>HYPERLINK("https://twitter.com/pascalgiovanni4","@pascalgiovanni4")</f>
        <v>@pascalgiovanni4</v>
      </c>
      <c r="C2361" s="8" t="s">
        <v>7967</v>
      </c>
      <c r="D2361" s="9" t="s">
        <v>8368</v>
      </c>
      <c r="E2361" s="10" t="str">
        <f>HYPERLINK("https://twitter.com/pascalgiovanni4/status/1064889093153267714","1064889093153267714")</f>
        <v>1064889093153267714</v>
      </c>
      <c r="F2361" s="14" t="s">
        <v>7808</v>
      </c>
      <c r="G2361" s="11"/>
      <c r="H2361" s="11"/>
      <c r="I2361" s="12">
        <v>0</v>
      </c>
      <c r="J2361" s="12">
        <v>0</v>
      </c>
      <c r="K2361" s="13" t="str">
        <f t="shared" ref="K2361:K2363" si="489">HYPERLINK("http://twitter.com","Twitter Web Client")</f>
        <v>Twitter Web Client</v>
      </c>
      <c r="L2361" s="12">
        <v>230</v>
      </c>
      <c r="M2361" s="12">
        <v>878</v>
      </c>
      <c r="N2361" s="12">
        <v>1</v>
      </c>
      <c r="O2361" s="15"/>
      <c r="P2361" s="6">
        <v>42771.341331018513</v>
      </c>
      <c r="Q2361" s="16" t="s">
        <v>7970</v>
      </c>
      <c r="R2361" s="19"/>
      <c r="S2361" s="11"/>
      <c r="T2361" s="11"/>
      <c r="U2361" s="10" t="str">
        <f>HYPERLINK("https://pbs.twimg.com/profile_images/842758117733683201/c_namZex.jpg","View")</f>
        <v>View</v>
      </c>
    </row>
    <row r="2362" spans="1:21" ht="81.599999999999994">
      <c r="A2362" s="6">
        <v>43424.272141203706</v>
      </c>
      <c r="B2362" s="7" t="str">
        <f>HYPERLINK("https://twitter.com/Tataguay","@Tataguay")</f>
        <v>@Tataguay</v>
      </c>
      <c r="C2362" s="8" t="s">
        <v>1314</v>
      </c>
      <c r="D2362" s="9" t="s">
        <v>5331</v>
      </c>
      <c r="E2362" s="10" t="str">
        <f>HYPERLINK("https://twitter.com/Tataguay/status/1064889068734083074","1064889068734083074")</f>
        <v>1064889068734083074</v>
      </c>
      <c r="F2362" s="16" t="s">
        <v>5333</v>
      </c>
      <c r="G2362" s="11"/>
      <c r="H2362" s="11"/>
      <c r="I2362" s="12">
        <v>0</v>
      </c>
      <c r="J2362" s="12">
        <v>0</v>
      </c>
      <c r="K2362" s="13" t="str">
        <f t="shared" si="489"/>
        <v>Twitter Web Client</v>
      </c>
      <c r="L2362" s="12">
        <v>982</v>
      </c>
      <c r="M2362" s="12">
        <v>1892</v>
      </c>
      <c r="N2362" s="12">
        <v>4</v>
      </c>
      <c r="O2362" s="15"/>
      <c r="P2362" s="6">
        <v>40478.260636574072</v>
      </c>
      <c r="Q2362" s="16" t="s">
        <v>1320</v>
      </c>
      <c r="R2362" s="17" t="s">
        <v>1321</v>
      </c>
      <c r="S2362" s="11"/>
      <c r="T2362" s="11"/>
      <c r="U2362" s="10" t="str">
        <f>HYPERLINK("https://pbs.twimg.com/profile_images/914989519966998528/V5sg3EYQ.jpg","View")</f>
        <v>View</v>
      </c>
    </row>
    <row r="2363" spans="1:21" ht="40.799999999999997">
      <c r="A2363" s="6">
        <v>43424.271851851852</v>
      </c>
      <c r="B2363" s="7" t="str">
        <f>HYPERLINK("https://twitter.com/Jota_POV","@Jota_POV")</f>
        <v>@Jota_POV</v>
      </c>
      <c r="C2363" s="8" t="s">
        <v>4557</v>
      </c>
      <c r="D2363" s="9" t="s">
        <v>5335</v>
      </c>
      <c r="E2363" s="10" t="str">
        <f>HYPERLINK("https://twitter.com/Jota_POV/status/1064888963306057729","1064888963306057729")</f>
        <v>1064888963306057729</v>
      </c>
      <c r="F2363" s="14" t="s">
        <v>5336</v>
      </c>
      <c r="G2363" s="11"/>
      <c r="H2363" s="11"/>
      <c r="I2363" s="12">
        <v>1</v>
      </c>
      <c r="J2363" s="12">
        <v>2</v>
      </c>
      <c r="K2363" s="13" t="str">
        <f t="shared" si="489"/>
        <v>Twitter Web Client</v>
      </c>
      <c r="L2363" s="12">
        <v>4520</v>
      </c>
      <c r="M2363" s="12">
        <v>3201</v>
      </c>
      <c r="N2363" s="12">
        <v>50</v>
      </c>
      <c r="O2363" s="15"/>
      <c r="P2363" s="6">
        <v>41980.506006944444</v>
      </c>
      <c r="Q2363" s="11"/>
      <c r="R2363" s="17" t="s">
        <v>4563</v>
      </c>
      <c r="S2363" s="14" t="s">
        <v>4564</v>
      </c>
      <c r="T2363" s="11"/>
      <c r="U2363" s="10" t="str">
        <f>HYPERLINK("https://pbs.twimg.com/profile_images/947892020210798592/Rl5Z9RiM.jpg","View")</f>
        <v>View</v>
      </c>
    </row>
    <row r="2364" spans="1:21" ht="30.6">
      <c r="A2364" s="6">
        <v>43424.271828703699</v>
      </c>
      <c r="B2364" s="7" t="str">
        <f>HYPERLINK("https://twitter.com/ElenaPolo63","@ElenaPolo63")</f>
        <v>@ElenaPolo63</v>
      </c>
      <c r="C2364" s="8" t="s">
        <v>5337</v>
      </c>
      <c r="D2364" s="9" t="s">
        <v>5338</v>
      </c>
      <c r="E2364" s="10" t="str">
        <f>HYPERLINK("https://twitter.com/ElenaPolo63/status/1064888955852767233","1064888955852767233")</f>
        <v>1064888955852767233</v>
      </c>
      <c r="F2364" s="11"/>
      <c r="G2364" s="11"/>
      <c r="H2364" s="11"/>
      <c r="I2364" s="12">
        <v>0</v>
      </c>
      <c r="J2364" s="12">
        <v>1</v>
      </c>
      <c r="K2364" s="13" t="str">
        <f>HYPERLINK("http://twitter.com/download/android","Twitter for Android")</f>
        <v>Twitter for Android</v>
      </c>
      <c r="L2364" s="12">
        <v>46</v>
      </c>
      <c r="M2364" s="12">
        <v>99</v>
      </c>
      <c r="N2364" s="12">
        <v>0</v>
      </c>
      <c r="O2364" s="15"/>
      <c r="P2364" s="6">
        <v>42428.166041666671</v>
      </c>
      <c r="Q2364" s="16" t="s">
        <v>267</v>
      </c>
      <c r="R2364" s="19"/>
      <c r="S2364" s="11"/>
      <c r="T2364" s="11"/>
      <c r="U2364" s="10" t="str">
        <f>HYPERLINK("https://pbs.twimg.com/profile_images/703913670649241600/YA2j7LFp.jpg","View")</f>
        <v>View</v>
      </c>
    </row>
    <row r="2365" spans="1:21" ht="51">
      <c r="A2365" s="6">
        <v>43424.271331018521</v>
      </c>
      <c r="B2365" s="7" t="str">
        <f>HYPERLINK("https://twitter.com/Joseluis_Cuevas","@Joseluis_Cuevas")</f>
        <v>@Joseluis_Cuevas</v>
      </c>
      <c r="C2365" s="8" t="s">
        <v>8369</v>
      </c>
      <c r="D2365" s="9" t="s">
        <v>8370</v>
      </c>
      <c r="E2365" s="10" t="str">
        <f>HYPERLINK("https://twitter.com/Joseluis_Cuevas/status/1064888775896113153","1064888775896113153")</f>
        <v>1064888775896113153</v>
      </c>
      <c r="F2365" s="16" t="s">
        <v>5828</v>
      </c>
      <c r="G2365" s="11"/>
      <c r="H2365" s="11"/>
      <c r="I2365" s="12">
        <v>0</v>
      </c>
      <c r="J2365" s="12">
        <v>0</v>
      </c>
      <c r="K2365" s="13" t="str">
        <f>HYPERLINK("http://twitter.com/download/iphone","Twitter for iPhone")</f>
        <v>Twitter for iPhone</v>
      </c>
      <c r="L2365" s="12">
        <v>421</v>
      </c>
      <c r="M2365" s="12">
        <v>1289</v>
      </c>
      <c r="N2365" s="12">
        <v>19</v>
      </c>
      <c r="O2365" s="15"/>
      <c r="P2365" s="6">
        <v>40464.405763888892</v>
      </c>
      <c r="Q2365" s="16" t="s">
        <v>1234</v>
      </c>
      <c r="R2365" s="17" t="s">
        <v>8371</v>
      </c>
      <c r="S2365" s="11"/>
      <c r="T2365" s="11"/>
      <c r="U2365" s="10" t="str">
        <f>HYPERLINK("https://pbs.twimg.com/profile_images/927671211638841344/RZARmwHf.jpg","View")</f>
        <v>View</v>
      </c>
    </row>
    <row r="2366" spans="1:21" ht="40.799999999999997">
      <c r="A2366" s="6">
        <v>43424.271064814813</v>
      </c>
      <c r="B2366" s="7" t="str">
        <f>HYPERLINK("https://twitter.com/EPcongreso","@EPcongreso")</f>
        <v>@EPcongreso</v>
      </c>
      <c r="C2366" s="8" t="s">
        <v>8372</v>
      </c>
      <c r="D2366" s="9" t="s">
        <v>8373</v>
      </c>
      <c r="E2366" s="10" t="str">
        <f>HYPERLINK("https://twitter.com/EPcongreso/status/1064888680454791168","1064888680454791168")</f>
        <v>1064888680454791168</v>
      </c>
      <c r="F2366" s="14" t="s">
        <v>5275</v>
      </c>
      <c r="G2366" s="11"/>
      <c r="H2366" s="11"/>
      <c r="I2366" s="12">
        <v>0</v>
      </c>
      <c r="J2366" s="12">
        <v>0</v>
      </c>
      <c r="K2366" s="13" t="str">
        <f>HYPERLINK("http://twitter.com","Twitter Web Client")</f>
        <v>Twitter Web Client</v>
      </c>
      <c r="L2366" s="12">
        <v>11324</v>
      </c>
      <c r="M2366" s="12">
        <v>614</v>
      </c>
      <c r="N2366" s="12">
        <v>400</v>
      </c>
      <c r="O2366" s="15"/>
      <c r="P2366" s="6">
        <v>40784.497511574074</v>
      </c>
      <c r="Q2366" s="16" t="s">
        <v>38</v>
      </c>
      <c r="R2366" s="17" t="s">
        <v>8374</v>
      </c>
      <c r="S2366" s="14" t="s">
        <v>8375</v>
      </c>
      <c r="T2366" s="11"/>
      <c r="U2366" s="10" t="str">
        <f>HYPERLINK("https://pbs.twimg.com/profile_images/877100964884475904/m1W8CAUp.jpg","View")</f>
        <v>View</v>
      </c>
    </row>
    <row r="2367" spans="1:21" ht="30.6">
      <c r="A2367" s="6">
        <v>43424.270833333328</v>
      </c>
      <c r="B2367" s="7" t="str">
        <f>HYPERLINK("https://twitter.com/laSextaTV","@laSextaTV")</f>
        <v>@laSextaTV</v>
      </c>
      <c r="C2367" s="8" t="s">
        <v>8376</v>
      </c>
      <c r="D2367" s="9" t="s">
        <v>8377</v>
      </c>
      <c r="E2367" s="10" t="str">
        <f>HYPERLINK("https://twitter.com/laSextaTV/status/1064888596568711176","1064888596568711176")</f>
        <v>1064888596568711176</v>
      </c>
      <c r="F2367" s="14" t="s">
        <v>8378</v>
      </c>
      <c r="G2367" s="11"/>
      <c r="H2367" s="11"/>
      <c r="I2367" s="12">
        <v>9</v>
      </c>
      <c r="J2367" s="12">
        <v>14</v>
      </c>
      <c r="K2367" s="13" t="str">
        <f t="shared" ref="K2367:K2369" si="490">HYPERLINK("http://dogtrack.es","DogTrack_Oficial")</f>
        <v>DogTrack_Oficial</v>
      </c>
      <c r="L2367" s="12">
        <v>912515</v>
      </c>
      <c r="M2367" s="12">
        <v>304</v>
      </c>
      <c r="N2367" s="12">
        <v>5843</v>
      </c>
      <c r="O2367" s="18" t="s">
        <v>52</v>
      </c>
      <c r="P2367" s="6">
        <v>39877.429710648146</v>
      </c>
      <c r="Q2367" s="16" t="s">
        <v>27</v>
      </c>
      <c r="R2367" s="17" t="s">
        <v>8379</v>
      </c>
      <c r="S2367" s="14" t="s">
        <v>8380</v>
      </c>
      <c r="T2367" s="11"/>
      <c r="U2367" s="10" t="str">
        <f>HYPERLINK("https://pbs.twimg.com/profile_images/898966361426231296/0sS0RzFh.jpg","View")</f>
        <v>View</v>
      </c>
    </row>
    <row r="2368" spans="1:21" ht="30.6">
      <c r="A2368" s="6">
        <v>43424.270833333328</v>
      </c>
      <c r="B2368" s="7" t="str">
        <f>HYPERLINK("https://twitter.com/DebatAlRojoVivo","@DebatAlRojoVivo")</f>
        <v>@DebatAlRojoVivo</v>
      </c>
      <c r="C2368" s="8" t="s">
        <v>563</v>
      </c>
      <c r="D2368" s="9" t="s">
        <v>5343</v>
      </c>
      <c r="E2368" s="10" t="str">
        <f>HYPERLINK("https://twitter.com/DebatAlRojoVivo/status/1064888596476383232","1064888596476383232")</f>
        <v>1064888596476383232</v>
      </c>
      <c r="F2368" s="14" t="s">
        <v>5344</v>
      </c>
      <c r="G2368" s="11"/>
      <c r="H2368" s="11"/>
      <c r="I2368" s="12">
        <v>12</v>
      </c>
      <c r="J2368" s="12">
        <v>24</v>
      </c>
      <c r="K2368" s="13" t="str">
        <f t="shared" si="490"/>
        <v>DogTrack_Oficial</v>
      </c>
      <c r="L2368" s="12">
        <v>484474</v>
      </c>
      <c r="M2368" s="12">
        <v>279</v>
      </c>
      <c r="N2368" s="12">
        <v>2909</v>
      </c>
      <c r="O2368" s="18" t="s">
        <v>52</v>
      </c>
      <c r="P2368" s="6">
        <v>40555.49763888889</v>
      </c>
      <c r="Q2368" s="11"/>
      <c r="R2368" s="17" t="s">
        <v>567</v>
      </c>
      <c r="S2368" s="14" t="s">
        <v>568</v>
      </c>
      <c r="T2368" s="11"/>
      <c r="U2368" s="10" t="str">
        <f>HYPERLINK("https://pbs.twimg.com/profile_images/1063014308857237504/GEyVz5-l.jpg","View")</f>
        <v>View</v>
      </c>
    </row>
    <row r="2369" spans="1:21" ht="20.399999999999999">
      <c r="A2369" s="6">
        <v>43424.270833333328</v>
      </c>
      <c r="B2369" s="7" t="str">
        <f>HYPERLINK("https://twitter.com/sextaNoticias","@sextaNoticias")</f>
        <v>@sextaNoticias</v>
      </c>
      <c r="C2369" s="8" t="s">
        <v>494</v>
      </c>
      <c r="D2369" s="9" t="s">
        <v>5346</v>
      </c>
      <c r="E2369" s="10" t="str">
        <f>HYPERLINK("https://twitter.com/sextaNoticias/status/1064888594282745856","1064888594282745856")</f>
        <v>1064888594282745856</v>
      </c>
      <c r="F2369" s="14" t="s">
        <v>5348</v>
      </c>
      <c r="G2369" s="11"/>
      <c r="H2369" s="11"/>
      <c r="I2369" s="12">
        <v>6</v>
      </c>
      <c r="J2369" s="12">
        <v>11</v>
      </c>
      <c r="K2369" s="13" t="str">
        <f t="shared" si="490"/>
        <v>DogTrack_Oficial</v>
      </c>
      <c r="L2369" s="12">
        <v>1108908</v>
      </c>
      <c r="M2369" s="12">
        <v>279</v>
      </c>
      <c r="N2369" s="12">
        <v>7292</v>
      </c>
      <c r="O2369" s="18" t="s">
        <v>52</v>
      </c>
      <c r="P2369" s="6">
        <v>40099.239328703705</v>
      </c>
      <c r="Q2369" s="11"/>
      <c r="R2369" s="17" t="s">
        <v>497</v>
      </c>
      <c r="S2369" s="14" t="s">
        <v>498</v>
      </c>
      <c r="T2369" s="11"/>
      <c r="U2369" s="10" t="str">
        <f>HYPERLINK("https://pbs.twimg.com/profile_images/898970208551022592/hh3ITSK-.jpg","View")</f>
        <v>View</v>
      </c>
    </row>
    <row r="2370" spans="1:21" ht="112.2">
      <c r="A2370" s="6">
        <v>43424.270752314813</v>
      </c>
      <c r="B2370" s="7" t="str">
        <f>HYPERLINK("https://twitter.com/Tataguay","@Tataguay")</f>
        <v>@Tataguay</v>
      </c>
      <c r="C2370" s="8" t="s">
        <v>1314</v>
      </c>
      <c r="D2370" s="9" t="s">
        <v>5353</v>
      </c>
      <c r="E2370" s="10" t="str">
        <f>HYPERLINK("https://twitter.com/Tataguay/status/1064888565463744513","1064888565463744513")</f>
        <v>1064888565463744513</v>
      </c>
      <c r="F2370" s="14" t="s">
        <v>5357</v>
      </c>
      <c r="G2370" s="14" t="s">
        <v>5358</v>
      </c>
      <c r="H2370" s="11"/>
      <c r="I2370" s="12">
        <v>0</v>
      </c>
      <c r="J2370" s="12">
        <v>0</v>
      </c>
      <c r="K2370" s="13" t="str">
        <f>HYPERLINK("http://twitter.com","Twitter Web Client")</f>
        <v>Twitter Web Client</v>
      </c>
      <c r="L2370" s="12">
        <v>982</v>
      </c>
      <c r="M2370" s="12">
        <v>1892</v>
      </c>
      <c r="N2370" s="12">
        <v>4</v>
      </c>
      <c r="O2370" s="15"/>
      <c r="P2370" s="6">
        <v>40478.260636574072</v>
      </c>
      <c r="Q2370" s="16" t="s">
        <v>1320</v>
      </c>
      <c r="R2370" s="17" t="s">
        <v>1321</v>
      </c>
      <c r="S2370" s="11"/>
      <c r="T2370" s="11"/>
      <c r="U2370" s="10" t="str">
        <f>HYPERLINK("https://pbs.twimg.com/profile_images/914989519966998528/V5sg3EYQ.jpg","View")</f>
        <v>View</v>
      </c>
    </row>
    <row r="2371" spans="1:21" ht="40.799999999999997">
      <c r="A2371" s="6">
        <v>43424.27065972222</v>
      </c>
      <c r="B2371" s="7" t="str">
        <f>HYPERLINK("https://twitter.com/Jota_POV","@Jota_POV")</f>
        <v>@Jota_POV</v>
      </c>
      <c r="C2371" s="8" t="s">
        <v>4557</v>
      </c>
      <c r="D2371" s="9" t="s">
        <v>8381</v>
      </c>
      <c r="E2371" s="10" t="str">
        <f>HYPERLINK("https://twitter.com/Jota_POV/status/1064888531183497216","1064888531183497216")</f>
        <v>1064888531183497216</v>
      </c>
      <c r="F2371" s="14" t="s">
        <v>8382</v>
      </c>
      <c r="G2371" s="11"/>
      <c r="H2371" s="11"/>
      <c r="I2371" s="12">
        <v>0</v>
      </c>
      <c r="J2371" s="12">
        <v>0</v>
      </c>
      <c r="K2371" s="13" t="str">
        <f>HYPERLINK("https://www.google.com/","Google")</f>
        <v>Google</v>
      </c>
      <c r="L2371" s="12">
        <v>4520</v>
      </c>
      <c r="M2371" s="12">
        <v>3201</v>
      </c>
      <c r="N2371" s="12">
        <v>50</v>
      </c>
      <c r="O2371" s="15"/>
      <c r="P2371" s="6">
        <v>41980.506006944444</v>
      </c>
      <c r="Q2371" s="11"/>
      <c r="R2371" s="17" t="s">
        <v>4563</v>
      </c>
      <c r="S2371" s="14" t="s">
        <v>4564</v>
      </c>
      <c r="T2371" s="11"/>
      <c r="U2371" s="10" t="str">
        <f>HYPERLINK("https://pbs.twimg.com/profile_images/947892020210798592/Rl5Z9RiM.jpg","View")</f>
        <v>View</v>
      </c>
    </row>
    <row r="2372" spans="1:21" ht="40.799999999999997">
      <c r="A2372" s="6">
        <v>43424.269930555558</v>
      </c>
      <c r="B2372" s="7" t="str">
        <f>HYPERLINK("https://twitter.com/ORSEPA_6","@ORSEPA_6")</f>
        <v>@ORSEPA_6</v>
      </c>
      <c r="C2372" s="8" t="s">
        <v>5359</v>
      </c>
      <c r="D2372" s="9" t="s">
        <v>5360</v>
      </c>
      <c r="E2372" s="10" t="str">
        <f>HYPERLINK("https://twitter.com/ORSEPA_6/status/1064888266283978753","1064888266283978753")</f>
        <v>1064888266283978753</v>
      </c>
      <c r="F2372" s="11"/>
      <c r="G2372" s="14" t="s">
        <v>5362</v>
      </c>
      <c r="H2372" s="11"/>
      <c r="I2372" s="12">
        <v>0</v>
      </c>
      <c r="J2372" s="12">
        <v>1</v>
      </c>
      <c r="K2372" s="13" t="str">
        <f>HYPERLINK("http://twitter.com/download/android","Twitter for Android")</f>
        <v>Twitter for Android</v>
      </c>
      <c r="L2372" s="12">
        <v>214</v>
      </c>
      <c r="M2372" s="12">
        <v>235</v>
      </c>
      <c r="N2372" s="12">
        <v>1</v>
      </c>
      <c r="O2372" s="15"/>
      <c r="P2372" s="6">
        <v>42602.171990740739</v>
      </c>
      <c r="Q2372" s="16" t="s">
        <v>28</v>
      </c>
      <c r="R2372" s="17" t="s">
        <v>5363</v>
      </c>
      <c r="S2372" s="11"/>
      <c r="T2372" s="11"/>
      <c r="U2372" s="10" t="str">
        <f>HYPERLINK("https://pbs.twimg.com/profile_images/1055916922590711809/jr0EPC8m.jpg","View")</f>
        <v>View</v>
      </c>
    </row>
    <row r="2373" spans="1:21" ht="30.6">
      <c r="A2373" s="6">
        <v>43424.267870370371</v>
      </c>
      <c r="B2373" s="7" t="str">
        <f>HYPERLINK("https://twitter.com/joineurosec","@joineurosec")</f>
        <v>@joineurosec</v>
      </c>
      <c r="C2373" s="8" t="s">
        <v>8383</v>
      </c>
      <c r="D2373" s="9" t="s">
        <v>7848</v>
      </c>
      <c r="E2373" s="10" t="str">
        <f>HYPERLINK("https://twitter.com/joineurosec/status/1064887521040056330","1064887521040056330")</f>
        <v>1064887521040056330</v>
      </c>
      <c r="F2373" s="14" t="s">
        <v>2122</v>
      </c>
      <c r="G2373" s="11"/>
      <c r="H2373" s="11"/>
      <c r="I2373" s="12">
        <v>0</v>
      </c>
      <c r="J2373" s="12">
        <v>0</v>
      </c>
      <c r="K2373" s="13" t="str">
        <f>HYPERLINK("http://twitter.com","Twitter Web Client")</f>
        <v>Twitter Web Client</v>
      </c>
      <c r="L2373" s="12">
        <v>342</v>
      </c>
      <c r="M2373" s="12">
        <v>776</v>
      </c>
      <c r="N2373" s="12">
        <v>9</v>
      </c>
      <c r="O2373" s="15"/>
      <c r="P2373" s="6">
        <v>41694.967453703706</v>
      </c>
      <c r="Q2373" s="16" t="s">
        <v>8384</v>
      </c>
      <c r="R2373" s="17" t="s">
        <v>8385</v>
      </c>
      <c r="S2373" s="11"/>
      <c r="T2373" s="11"/>
      <c r="U2373" s="10" t="str">
        <f>HYPERLINK("https://pbs.twimg.com/profile_images/1058365454853509121/Sti1PYX5.jpg","View")</f>
        <v>View</v>
      </c>
    </row>
    <row r="2374" spans="1:21" ht="81.599999999999994">
      <c r="A2374" s="6">
        <v>43424.267789351856</v>
      </c>
      <c r="B2374" s="7" t="str">
        <f>HYPERLINK("https://twitter.com/ArturoRojillo","@ArturoRojillo")</f>
        <v>@ArturoRojillo</v>
      </c>
      <c r="C2374" s="8" t="s">
        <v>1084</v>
      </c>
      <c r="D2374" s="9" t="s">
        <v>5367</v>
      </c>
      <c r="E2374" s="10" t="str">
        <f>HYPERLINK("https://twitter.com/ArturoRojillo/status/1064887492451672065","1064887492451672065")</f>
        <v>1064887492451672065</v>
      </c>
      <c r="F2374" s="14" t="s">
        <v>5370</v>
      </c>
      <c r="G2374" s="14" t="s">
        <v>5371</v>
      </c>
      <c r="H2374" s="11"/>
      <c r="I2374" s="12">
        <v>0</v>
      </c>
      <c r="J2374" s="12">
        <v>1</v>
      </c>
      <c r="K2374" s="13" t="str">
        <f>HYPERLINK("http://twitter.com/download/android","Twitter for Android")</f>
        <v>Twitter for Android</v>
      </c>
      <c r="L2374" s="12">
        <v>2081</v>
      </c>
      <c r="M2374" s="12">
        <v>1902</v>
      </c>
      <c r="N2374" s="12">
        <v>41</v>
      </c>
      <c r="O2374" s="15"/>
      <c r="P2374" s="6">
        <v>40397.371678240743</v>
      </c>
      <c r="Q2374" s="16" t="s">
        <v>1087</v>
      </c>
      <c r="R2374" s="17" t="s">
        <v>1088</v>
      </c>
      <c r="S2374" s="14" t="s">
        <v>1089</v>
      </c>
      <c r="T2374" s="11"/>
      <c r="U2374" s="10" t="str">
        <f>HYPERLINK("https://pbs.twimg.com/profile_images/1039423460508938245/wysaMirT.jpg","View")</f>
        <v>View</v>
      </c>
    </row>
    <row r="2375" spans="1:21" ht="40.799999999999997">
      <c r="A2375" s="6">
        <v>43424.266886574071</v>
      </c>
      <c r="B2375" s="7" t="str">
        <f>HYPERLINK("https://twitter.com/tuerka_ovt","@tuerka_ovt")</f>
        <v>@tuerka_ovt</v>
      </c>
      <c r="C2375" s="8" t="s">
        <v>4269</v>
      </c>
      <c r="D2375" s="9" t="s">
        <v>8386</v>
      </c>
      <c r="E2375" s="10" t="str">
        <f>HYPERLINK("https://twitter.com/tuerka_ovt/status/1064887165312745472","1064887165312745472")</f>
        <v>1064887165312745472</v>
      </c>
      <c r="F2375" s="11"/>
      <c r="G2375" s="14" t="s">
        <v>8387</v>
      </c>
      <c r="H2375" s="11"/>
      <c r="I2375" s="12">
        <v>190</v>
      </c>
      <c r="J2375" s="12">
        <v>318</v>
      </c>
      <c r="K2375" s="13" t="str">
        <f>HYPERLINK("http://twitter.com","Twitter Web Client")</f>
        <v>Twitter Web Client</v>
      </c>
      <c r="L2375" s="12">
        <v>178771</v>
      </c>
      <c r="M2375" s="12">
        <v>8390</v>
      </c>
      <c r="N2375" s="12">
        <v>1899</v>
      </c>
      <c r="O2375" s="15"/>
      <c r="P2375" s="6">
        <v>40496.424328703702</v>
      </c>
      <c r="Q2375" s="16" t="s">
        <v>38</v>
      </c>
      <c r="R2375" s="17" t="s">
        <v>4274</v>
      </c>
      <c r="S2375" s="11"/>
      <c r="T2375" s="11"/>
      <c r="U2375" s="10" t="str">
        <f>HYPERLINK("https://pbs.twimg.com/profile_images/974345759188504580/InpH7cQq.jpg","View")</f>
        <v>View</v>
      </c>
    </row>
    <row r="2376" spans="1:21" ht="20.399999999999999">
      <c r="A2376" s="6">
        <v>43424.266863425924</v>
      </c>
      <c r="B2376" s="7" t="str">
        <f>HYPERLINK("https://twitter.com/bourbonroad","@bourbonroad")</f>
        <v>@bourbonroad</v>
      </c>
      <c r="C2376" s="8" t="s">
        <v>8388</v>
      </c>
      <c r="D2376" s="9" t="s">
        <v>8389</v>
      </c>
      <c r="E2376" s="10" t="str">
        <f>HYPERLINK("https://twitter.com/bourbonroad/status/1064887157934841856","1064887157934841856")</f>
        <v>1064887157934841856</v>
      </c>
      <c r="F2376" s="14" t="s">
        <v>8390</v>
      </c>
      <c r="G2376" s="11"/>
      <c r="H2376" s="11"/>
      <c r="I2376" s="12">
        <v>0</v>
      </c>
      <c r="J2376" s="12">
        <v>0</v>
      </c>
      <c r="K2376" s="13" t="str">
        <f>HYPERLINK("https://periscope.tv","Periscope")</f>
        <v>Periscope</v>
      </c>
      <c r="L2376" s="12">
        <v>3257</v>
      </c>
      <c r="M2376" s="12">
        <v>5000</v>
      </c>
      <c r="N2376" s="12">
        <v>370</v>
      </c>
      <c r="O2376" s="15"/>
      <c r="P2376" s="6">
        <v>39761.019930555558</v>
      </c>
      <c r="Q2376" s="16" t="s">
        <v>8391</v>
      </c>
      <c r="R2376" s="17" t="s">
        <v>8392</v>
      </c>
      <c r="S2376" s="14" t="s">
        <v>8393</v>
      </c>
      <c r="T2376" s="11"/>
      <c r="U2376" s="10" t="str">
        <f>HYPERLINK("https://pbs.twimg.com/profile_images/1001521403227590656/dGUhe4Ti.jpg","View")</f>
        <v>View</v>
      </c>
    </row>
    <row r="2377" spans="1:21" ht="30.6">
      <c r="A2377" s="6">
        <v>43424.2652662037</v>
      </c>
      <c r="B2377" s="7" t="str">
        <f>HYPERLINK("https://twitter.com/maxalvareztever","@maxalvareztever")</f>
        <v>@maxalvareztever</v>
      </c>
      <c r="C2377" s="8" t="s">
        <v>6540</v>
      </c>
      <c r="D2377" s="9" t="s">
        <v>8394</v>
      </c>
      <c r="E2377" s="10" t="str">
        <f>HYPERLINK("https://twitter.com/maxalvareztever/status/1064886577791451139","1064886577791451139")</f>
        <v>1064886577791451139</v>
      </c>
      <c r="F2377" s="14" t="s">
        <v>8160</v>
      </c>
      <c r="G2377" s="11"/>
      <c r="H2377" s="11"/>
      <c r="I2377" s="12">
        <v>0</v>
      </c>
      <c r="J2377" s="12">
        <v>0</v>
      </c>
      <c r="K2377" s="13" t="str">
        <f>HYPERLINK("https://www.google.com/","Google")</f>
        <v>Google</v>
      </c>
      <c r="L2377" s="12">
        <v>949</v>
      </c>
      <c r="M2377" s="12">
        <v>1953</v>
      </c>
      <c r="N2377" s="12">
        <v>15</v>
      </c>
      <c r="O2377" s="15"/>
      <c r="P2377" s="6">
        <v>40562.500914351855</v>
      </c>
      <c r="Q2377" s="16" t="s">
        <v>6542</v>
      </c>
      <c r="R2377" s="17" t="s">
        <v>6543</v>
      </c>
      <c r="S2377" s="11"/>
      <c r="T2377" s="11"/>
      <c r="U2377" s="10" t="str">
        <f>HYPERLINK("https://pbs.twimg.com/profile_images/1713837472/DSC_0178-2.jpg","View")</f>
        <v>View</v>
      </c>
    </row>
    <row r="2378" spans="1:21" ht="51">
      <c r="A2378" s="6">
        <v>43424.264479166668</v>
      </c>
      <c r="B2378" s="7" t="str">
        <f>HYPERLINK("https://twitter.com/msanzjulia","@msanzjulia")</f>
        <v>@msanzjulia</v>
      </c>
      <c r="C2378" s="8" t="s">
        <v>5375</v>
      </c>
      <c r="D2378" s="9" t="s">
        <v>5376</v>
      </c>
      <c r="E2378" s="10" t="str">
        <f>HYPERLINK("https://twitter.com/msanzjulia/status/1064886293916729344","1064886293916729344")</f>
        <v>1064886293916729344</v>
      </c>
      <c r="F2378" s="11"/>
      <c r="G2378" s="11"/>
      <c r="H2378" s="11"/>
      <c r="I2378" s="12">
        <v>1</v>
      </c>
      <c r="J2378" s="12">
        <v>1</v>
      </c>
      <c r="K2378" s="13" t="str">
        <f>HYPERLINK("http://twitter.com","Twitter Web Client")</f>
        <v>Twitter Web Client</v>
      </c>
      <c r="L2378" s="12">
        <v>324</v>
      </c>
      <c r="M2378" s="12">
        <v>311</v>
      </c>
      <c r="N2378" s="12">
        <v>6</v>
      </c>
      <c r="O2378" s="15"/>
      <c r="P2378" s="6">
        <v>40715.146064814813</v>
      </c>
      <c r="Q2378" s="16" t="s">
        <v>2839</v>
      </c>
      <c r="R2378" s="17" t="s">
        <v>5379</v>
      </c>
      <c r="S2378" s="11"/>
      <c r="T2378" s="11"/>
      <c r="U2378" s="10" t="str">
        <f>HYPERLINK("https://pbs.twimg.com/profile_images/744800724186345472/z2RTgXpg.jpg","View")</f>
        <v>View</v>
      </c>
    </row>
    <row r="2379" spans="1:21" ht="40.799999999999997">
      <c r="A2379" s="6">
        <v>43424.264004629629</v>
      </c>
      <c r="B2379" s="7" t="str">
        <f>HYPERLINK("https://twitter.com/unoyotro1","@unoyotro1")</f>
        <v>@unoyotro1</v>
      </c>
      <c r="C2379" s="8" t="s">
        <v>5381</v>
      </c>
      <c r="D2379" s="9" t="s">
        <v>5382</v>
      </c>
      <c r="E2379" s="10" t="str">
        <f>HYPERLINK("https://twitter.com/unoyotro1/status/1064886121375645702","1064886121375645702")</f>
        <v>1064886121375645702</v>
      </c>
      <c r="F2379" s="11"/>
      <c r="G2379" s="11"/>
      <c r="H2379" s="11"/>
      <c r="I2379" s="12">
        <v>0</v>
      </c>
      <c r="J2379" s="12">
        <v>0</v>
      </c>
      <c r="K2379" s="13" t="str">
        <f>HYPERLINK("http://twitter.com/download/android","Twitter for Android")</f>
        <v>Twitter for Android</v>
      </c>
      <c r="L2379" s="12">
        <v>22</v>
      </c>
      <c r="M2379" s="12">
        <v>62</v>
      </c>
      <c r="N2379" s="12">
        <v>0</v>
      </c>
      <c r="O2379" s="15"/>
      <c r="P2379" s="6">
        <v>42381.064826388887</v>
      </c>
      <c r="Q2379" s="11"/>
      <c r="R2379" s="19"/>
      <c r="S2379" s="11"/>
      <c r="T2379" s="11"/>
      <c r="U2379" s="10" t="str">
        <f>HYPERLINK("https://pbs.twimg.com/profile_images/686848126909575168/ydEeFXfQ.jpg","View")</f>
        <v>View</v>
      </c>
    </row>
    <row r="2380" spans="1:21" ht="51">
      <c r="A2380" s="6">
        <v>43424.263888888891</v>
      </c>
      <c r="B2380" s="7" t="str">
        <f>HYPERLINK("https://twitter.com/CatarataLibros","@CatarataLibros")</f>
        <v>@CatarataLibros</v>
      </c>
      <c r="C2380" s="8" t="s">
        <v>5386</v>
      </c>
      <c r="D2380" s="9" t="s">
        <v>5387</v>
      </c>
      <c r="E2380" s="10" t="str">
        <f>HYPERLINK("https://twitter.com/CatarataLibros/status/1064886078421651456","1064886078421651456")</f>
        <v>1064886078421651456</v>
      </c>
      <c r="F2380" s="14" t="s">
        <v>5389</v>
      </c>
      <c r="G2380" s="14" t="s">
        <v>5390</v>
      </c>
      <c r="H2380" s="11"/>
      <c r="I2380" s="12">
        <v>3</v>
      </c>
      <c r="J2380" s="12">
        <v>6</v>
      </c>
      <c r="K2380" s="13" t="str">
        <f t="shared" ref="K2380:K2381" si="491">HYPERLINK("https://about.twitter.com/products/tweetdeck","TweetDeck")</f>
        <v>TweetDeck</v>
      </c>
      <c r="L2380" s="12">
        <v>1940</v>
      </c>
      <c r="M2380" s="12">
        <v>217</v>
      </c>
      <c r="N2380" s="12">
        <v>47</v>
      </c>
      <c r="O2380" s="15"/>
      <c r="P2380" s="6">
        <v>41957.074953703705</v>
      </c>
      <c r="Q2380" s="16" t="s">
        <v>38</v>
      </c>
      <c r="R2380" s="17" t="s">
        <v>5391</v>
      </c>
      <c r="S2380" s="14" t="s">
        <v>5392</v>
      </c>
      <c r="T2380" s="11"/>
      <c r="U2380" s="10" t="str">
        <f>HYPERLINK("https://pbs.twimg.com/profile_images/923079119038025728/e3lEsVkU.jpg","View")</f>
        <v>View</v>
      </c>
    </row>
    <row r="2381" spans="1:21" ht="30.6">
      <c r="A2381" s="6">
        <v>43424.263888888891</v>
      </c>
      <c r="B2381" s="7" t="str">
        <f>HYPERLINK("https://twitter.com/redaccionmedica","@redaccionmedica")</f>
        <v>@redaccionmedica</v>
      </c>
      <c r="C2381" s="8" t="s">
        <v>5084</v>
      </c>
      <c r="D2381" s="9" t="s">
        <v>5394</v>
      </c>
      <c r="E2381" s="10" t="str">
        <f>HYPERLINK("https://twitter.com/redaccionmedica/status/1064886078404943873","1064886078404943873")</f>
        <v>1064886078404943873</v>
      </c>
      <c r="F2381" s="14" t="s">
        <v>5087</v>
      </c>
      <c r="G2381" s="14" t="s">
        <v>5398</v>
      </c>
      <c r="H2381" s="11"/>
      <c r="I2381" s="12">
        <v>3</v>
      </c>
      <c r="J2381" s="12">
        <v>2</v>
      </c>
      <c r="K2381" s="13" t="str">
        <f t="shared" si="491"/>
        <v>TweetDeck</v>
      </c>
      <c r="L2381" s="12">
        <v>63568</v>
      </c>
      <c r="M2381" s="12">
        <v>7650</v>
      </c>
      <c r="N2381" s="12">
        <v>1629</v>
      </c>
      <c r="O2381" s="15"/>
      <c r="P2381" s="6">
        <v>40532.984513888892</v>
      </c>
      <c r="Q2381" s="16" t="s">
        <v>28</v>
      </c>
      <c r="R2381" s="17" t="s">
        <v>5089</v>
      </c>
      <c r="S2381" s="14" t="s">
        <v>5090</v>
      </c>
      <c r="T2381" s="11"/>
      <c r="U2381" s="10" t="str">
        <f>HYPERLINK("https://pbs.twimg.com/profile_images/841963983477346304/T2ZeoHai.jpg","View")</f>
        <v>View</v>
      </c>
    </row>
    <row r="2382" spans="1:21" ht="40.799999999999997">
      <c r="A2382" s="6">
        <v>43424.263495370367</v>
      </c>
      <c r="B2382" s="7" t="str">
        <f>HYPERLINK("https://twitter.com/ahorapodemos","@ahorapodemos")</f>
        <v>@ahorapodemos</v>
      </c>
      <c r="C2382" s="8" t="s">
        <v>48</v>
      </c>
      <c r="D2382" s="9" t="s">
        <v>5399</v>
      </c>
      <c r="E2382" s="10" t="str">
        <f>HYPERLINK("https://twitter.com/ahorapodemos/status/1064885936620806144","1064885936620806144")</f>
        <v>1064885936620806144</v>
      </c>
      <c r="F2382" s="14" t="s">
        <v>5400</v>
      </c>
      <c r="G2382" s="11"/>
      <c r="H2382" s="11"/>
      <c r="I2382" s="12">
        <v>129</v>
      </c>
      <c r="J2382" s="12">
        <v>180</v>
      </c>
      <c r="K2382" s="13" t="str">
        <f>HYPERLINK("https://studio.twitter.com","Media Studio")</f>
        <v>Media Studio</v>
      </c>
      <c r="L2382" s="12">
        <v>1338987</v>
      </c>
      <c r="M2382" s="12">
        <v>1529</v>
      </c>
      <c r="N2382" s="12">
        <v>5654</v>
      </c>
      <c r="O2382" s="18" t="s">
        <v>52</v>
      </c>
      <c r="P2382" s="6">
        <v>41651.201979166668</v>
      </c>
      <c r="Q2382" s="16" t="s">
        <v>54</v>
      </c>
      <c r="R2382" s="17" t="s">
        <v>56</v>
      </c>
      <c r="S2382" s="14" t="s">
        <v>58</v>
      </c>
      <c r="T2382" s="11"/>
      <c r="U2382" s="10" t="str">
        <f>HYPERLINK("https://pbs.twimg.com/profile_images/1036536413548892160/J0K-j7cz.jpg","View")</f>
        <v>View</v>
      </c>
    </row>
    <row r="2383" spans="1:21" ht="20.399999999999999">
      <c r="A2383" s="6">
        <v>43424.26048611111</v>
      </c>
      <c r="B2383" s="7" t="str">
        <f>HYPERLINK("https://twitter.com/Eduarraiza","@Eduarraiza")</f>
        <v>@Eduarraiza</v>
      </c>
      <c r="C2383" s="8" t="s">
        <v>8395</v>
      </c>
      <c r="D2383" s="9" t="s">
        <v>7848</v>
      </c>
      <c r="E2383" s="10" t="str">
        <f>HYPERLINK("https://twitter.com/Eduarraiza/status/1064884846349246464","1064884846349246464")</f>
        <v>1064884846349246464</v>
      </c>
      <c r="F2383" s="14" t="s">
        <v>2122</v>
      </c>
      <c r="G2383" s="11"/>
      <c r="H2383" s="11"/>
      <c r="I2383" s="12">
        <v>0</v>
      </c>
      <c r="J2383" s="12">
        <v>0</v>
      </c>
      <c r="K2383" s="13" t="str">
        <f t="shared" ref="K2383:K2384" si="492">HYPERLINK("http://twitter.com/download/android","Twitter for Android")</f>
        <v>Twitter for Android</v>
      </c>
      <c r="L2383" s="12">
        <v>273</v>
      </c>
      <c r="M2383" s="12">
        <v>378</v>
      </c>
      <c r="N2383" s="12">
        <v>3</v>
      </c>
      <c r="O2383" s="15"/>
      <c r="P2383" s="6">
        <v>40590.664178240739</v>
      </c>
      <c r="Q2383" s="16" t="s">
        <v>38</v>
      </c>
      <c r="R2383" s="19"/>
      <c r="S2383" s="11"/>
      <c r="T2383" s="11"/>
      <c r="U2383" s="10" t="str">
        <f>HYPERLINK("https://pbs.twimg.com/profile_images/634659049448079360/LH-nw-mb.jpg","View")</f>
        <v>View</v>
      </c>
    </row>
    <row r="2384" spans="1:21" ht="40.799999999999997">
      <c r="A2384" s="6">
        <v>43424.256608796291</v>
      </c>
      <c r="B2384" s="7" t="str">
        <f>HYPERLINK("https://twitter.com/patarrocas","@patarrocas")</f>
        <v>@patarrocas</v>
      </c>
      <c r="C2384" s="8" t="s">
        <v>8396</v>
      </c>
      <c r="D2384" s="9" t="s">
        <v>8397</v>
      </c>
      <c r="E2384" s="10" t="str">
        <f>HYPERLINK("https://twitter.com/patarrocas/status/1064883441148280832","1064883441148280832")</f>
        <v>1064883441148280832</v>
      </c>
      <c r="F2384" s="14" t="s">
        <v>1751</v>
      </c>
      <c r="G2384" s="11"/>
      <c r="H2384" s="11"/>
      <c r="I2384" s="12">
        <v>0</v>
      </c>
      <c r="J2384" s="12">
        <v>0</v>
      </c>
      <c r="K2384" s="13" t="str">
        <f t="shared" si="492"/>
        <v>Twitter for Android</v>
      </c>
      <c r="L2384" s="12">
        <v>1123</v>
      </c>
      <c r="M2384" s="12">
        <v>1393</v>
      </c>
      <c r="N2384" s="12">
        <v>69</v>
      </c>
      <c r="O2384" s="15"/>
      <c r="P2384" s="6">
        <v>41158.176550925928</v>
      </c>
      <c r="Q2384" s="11"/>
      <c r="R2384" s="17" t="s">
        <v>8398</v>
      </c>
      <c r="S2384" s="11"/>
      <c r="T2384" s="11"/>
      <c r="U2384" s="10" t="str">
        <f>HYPERLINK("https://pbs.twimg.com/profile_images/3307093406/c4ca3e67b6f9d29d6b9ceb489724546b.jpeg","View")</f>
        <v>View</v>
      </c>
    </row>
    <row r="2385" spans="1:21" ht="30.6">
      <c r="A2385" s="6">
        <v>43424.255740740744</v>
      </c>
      <c r="B2385" s="7" t="str">
        <f>HYPERLINK("https://twitter.com/anafvila","@anafvila")</f>
        <v>@anafvila</v>
      </c>
      <c r="C2385" s="8" t="s">
        <v>5273</v>
      </c>
      <c r="D2385" s="9" t="s">
        <v>5404</v>
      </c>
      <c r="E2385" s="10" t="str">
        <f>HYPERLINK("https://twitter.com/anafvila/status/1064883125266862082","1064883125266862082")</f>
        <v>1064883125266862082</v>
      </c>
      <c r="F2385" s="14" t="s">
        <v>5405</v>
      </c>
      <c r="G2385" s="11"/>
      <c r="H2385" s="11"/>
      <c r="I2385" s="12">
        <v>0</v>
      </c>
      <c r="J2385" s="12">
        <v>0</v>
      </c>
      <c r="K2385" s="13" t="str">
        <f>HYPERLINK("http://twitter.com","Twitter Web Client")</f>
        <v>Twitter Web Client</v>
      </c>
      <c r="L2385" s="12">
        <v>1958</v>
      </c>
      <c r="M2385" s="12">
        <v>1968</v>
      </c>
      <c r="N2385" s="12">
        <v>90</v>
      </c>
      <c r="O2385" s="15"/>
      <c r="P2385" s="6">
        <v>40278.481111111112</v>
      </c>
      <c r="Q2385" s="16" t="s">
        <v>38</v>
      </c>
      <c r="R2385" s="17" t="s">
        <v>5276</v>
      </c>
      <c r="S2385" s="14" t="s">
        <v>5277</v>
      </c>
      <c r="T2385" s="11"/>
      <c r="U2385" s="10" t="str">
        <f>HYPERLINK("https://pbs.twimg.com/profile_images/1045366516970115072/ZaxfKuT4.jpg","View")</f>
        <v>View</v>
      </c>
    </row>
    <row r="2386" spans="1:21" ht="40.799999999999997">
      <c r="A2386" s="6">
        <v>43424.254861111112</v>
      </c>
      <c r="B2386" s="7" t="str">
        <f>HYPERLINK("https://twitter.com/elperiodico","@elperiodico")</f>
        <v>@elperiodico</v>
      </c>
      <c r="C2386" s="8" t="s">
        <v>4493</v>
      </c>
      <c r="D2386" s="9" t="s">
        <v>4707</v>
      </c>
      <c r="E2386" s="10" t="str">
        <f>HYPERLINK("https://twitter.com/elperiodico/status/1064882808701837312","1064882808701837312")</f>
        <v>1064882808701837312</v>
      </c>
      <c r="F2386" s="14" t="s">
        <v>5408</v>
      </c>
      <c r="G2386" s="11"/>
      <c r="H2386" s="11"/>
      <c r="I2386" s="12">
        <v>8</v>
      </c>
      <c r="J2386" s="12">
        <v>9</v>
      </c>
      <c r="K2386" s="13" t="str">
        <f>HYPERLINK("http://dogtrack.es","DogTrack_Oficial")</f>
        <v>DogTrack_Oficial</v>
      </c>
      <c r="L2386" s="12">
        <v>596516</v>
      </c>
      <c r="M2386" s="12">
        <v>18498</v>
      </c>
      <c r="N2386" s="12">
        <v>6925</v>
      </c>
      <c r="O2386" s="18" t="s">
        <v>52</v>
      </c>
      <c r="P2386" s="6">
        <v>40456.164560185185</v>
      </c>
      <c r="Q2386" s="16" t="s">
        <v>256</v>
      </c>
      <c r="R2386" s="17" t="s">
        <v>4499</v>
      </c>
      <c r="S2386" s="14" t="s">
        <v>4500</v>
      </c>
      <c r="T2386" s="11"/>
      <c r="U2386" s="10" t="str">
        <f>HYPERLINK("https://pbs.twimg.com/profile_images/876802324135653377/s4G6oS9o.jpg","View")</f>
        <v>View</v>
      </c>
    </row>
    <row r="2387" spans="1:21" ht="51">
      <c r="A2387" s="6">
        <v>43424.253622685181</v>
      </c>
      <c r="B2387" s="7" t="str">
        <f>HYPERLINK("https://twitter.com/jorgebuja","@jorgebuja")</f>
        <v>@jorgebuja</v>
      </c>
      <c r="C2387" s="8" t="s">
        <v>8399</v>
      </c>
      <c r="D2387" s="9" t="s">
        <v>8400</v>
      </c>
      <c r="E2387" s="10" t="str">
        <f>HYPERLINK("https://twitter.com/jorgebuja/status/1064882358552276992","1064882358552276992")</f>
        <v>1064882358552276992</v>
      </c>
      <c r="F2387" s="11"/>
      <c r="G2387" s="11"/>
      <c r="H2387" s="11"/>
      <c r="I2387" s="12">
        <v>0</v>
      </c>
      <c r="J2387" s="12">
        <v>0</v>
      </c>
      <c r="K2387" s="13" t="str">
        <f>HYPERLINK("http://twitter.com/download/android","Twitter for Android")</f>
        <v>Twitter for Android</v>
      </c>
      <c r="L2387" s="12">
        <v>202</v>
      </c>
      <c r="M2387" s="12">
        <v>137</v>
      </c>
      <c r="N2387" s="12">
        <v>8</v>
      </c>
      <c r="O2387" s="15"/>
      <c r="P2387" s="6">
        <v>40734.476527777777</v>
      </c>
      <c r="Q2387" s="16" t="s">
        <v>8401</v>
      </c>
      <c r="R2387" s="17" t="s">
        <v>8402</v>
      </c>
      <c r="S2387" s="11"/>
      <c r="T2387" s="11"/>
      <c r="U2387" s="10" t="str">
        <f>HYPERLINK("https://pbs.twimg.com/profile_images/801460485702959105/l1P06v5L.jpg","View")</f>
        <v>View</v>
      </c>
    </row>
    <row r="2388" spans="1:21" ht="40.799999999999997">
      <c r="A2388" s="6">
        <v>43424.250543981485</v>
      </c>
      <c r="B2388" s="7" t="str">
        <f>HYPERLINK("https://twitter.com/PdeSamos","@PdeSamos")</f>
        <v>@PdeSamos</v>
      </c>
      <c r="C2388" s="8" t="s">
        <v>3877</v>
      </c>
      <c r="D2388" s="9" t="s">
        <v>8403</v>
      </c>
      <c r="E2388" s="10" t="str">
        <f>HYPERLINK("https://twitter.com/PdeSamos/status/1064881244201238528","1064881244201238528")</f>
        <v>1064881244201238528</v>
      </c>
      <c r="F2388" s="14" t="s">
        <v>8404</v>
      </c>
      <c r="G2388" s="11"/>
      <c r="H2388" s="11"/>
      <c r="I2388" s="12">
        <v>0</v>
      </c>
      <c r="J2388" s="12">
        <v>0</v>
      </c>
      <c r="K2388" s="13" t="str">
        <f>HYPERLINK("http://republico.ddns.net","App Libertad PdeSamos")</f>
        <v>App Libertad PdeSamos</v>
      </c>
      <c r="L2388" s="12">
        <v>5283</v>
      </c>
      <c r="M2388" s="12">
        <v>5301</v>
      </c>
      <c r="N2388" s="12">
        <v>12</v>
      </c>
      <c r="O2388" s="15"/>
      <c r="P2388" s="6">
        <v>42889.445567129631</v>
      </c>
      <c r="Q2388" s="16" t="s">
        <v>3881</v>
      </c>
      <c r="R2388" s="17" t="s">
        <v>3882</v>
      </c>
      <c r="S2388" s="11"/>
      <c r="T2388" s="11"/>
      <c r="U2388" s="10" t="str">
        <f>HYPERLINK("https://pbs.twimg.com/profile_images/871063742003511296/xK2IYbrO.jpg","View")</f>
        <v>View</v>
      </c>
    </row>
    <row r="2389" spans="1:21" ht="51">
      <c r="A2389" s="6">
        <v>43424.250138888892</v>
      </c>
      <c r="B2389" s="7" t="str">
        <f>HYPERLINK("https://twitter.com/OrbitaEduardo","@OrbitaEduardo")</f>
        <v>@OrbitaEduardo</v>
      </c>
      <c r="C2389" s="8" t="s">
        <v>4313</v>
      </c>
      <c r="D2389" s="9" t="s">
        <v>8405</v>
      </c>
      <c r="E2389" s="10" t="str">
        <f>HYPERLINK("https://twitter.com/OrbitaEduardo/status/1064881095164989441","1064881095164989441")</f>
        <v>1064881095164989441</v>
      </c>
      <c r="F2389" s="11"/>
      <c r="G2389" s="14" t="s">
        <v>8406</v>
      </c>
      <c r="H2389" s="11"/>
      <c r="I2389" s="12">
        <v>56</v>
      </c>
      <c r="J2389" s="12">
        <v>50</v>
      </c>
      <c r="K2389" s="13" t="str">
        <f>HYPERLINK("http://twitter.com/download/android","Twitter for Android")</f>
        <v>Twitter for Android</v>
      </c>
      <c r="L2389" s="12">
        <v>4223</v>
      </c>
      <c r="M2389" s="12">
        <v>4719</v>
      </c>
      <c r="N2389" s="12">
        <v>12</v>
      </c>
      <c r="O2389" s="15"/>
      <c r="P2389" s="6">
        <v>43109.999305555553</v>
      </c>
      <c r="Q2389" s="16" t="s">
        <v>407</v>
      </c>
      <c r="R2389" s="17" t="s">
        <v>4318</v>
      </c>
      <c r="S2389" s="11"/>
      <c r="T2389" s="11"/>
      <c r="U2389" s="10" t="str">
        <f>HYPERLINK("https://pbs.twimg.com/profile_images/1034013666600001538/MmqVJqFc.jpg","View")</f>
        <v>View</v>
      </c>
    </row>
    <row r="2390" spans="1:21" ht="30.6">
      <c r="A2390" s="6">
        <v>43424.247337962966</v>
      </c>
      <c r="B2390" s="7" t="str">
        <f>HYPERLINK("https://twitter.com/MierdaVaya","@MierdaVaya")</f>
        <v>@MierdaVaya</v>
      </c>
      <c r="C2390" s="8" t="s">
        <v>8407</v>
      </c>
      <c r="D2390" s="9" t="s">
        <v>8408</v>
      </c>
      <c r="E2390" s="10" t="str">
        <f>HYPERLINK("https://twitter.com/MierdaVaya/status/1064880079229075457","1064880079229075457")</f>
        <v>1064880079229075457</v>
      </c>
      <c r="F2390" s="14" t="s">
        <v>8409</v>
      </c>
      <c r="G2390" s="11"/>
      <c r="H2390" s="11"/>
      <c r="I2390" s="12">
        <v>0</v>
      </c>
      <c r="J2390" s="12">
        <v>0</v>
      </c>
      <c r="K2390" s="13" t="str">
        <f>HYPERLINK("http://twitter.com","Twitter Web Client")</f>
        <v>Twitter Web Client</v>
      </c>
      <c r="L2390" s="12">
        <v>451</v>
      </c>
      <c r="M2390" s="12">
        <v>814</v>
      </c>
      <c r="N2390" s="12">
        <v>1</v>
      </c>
      <c r="O2390" s="15"/>
      <c r="P2390" s="6">
        <v>42133.415810185186</v>
      </c>
      <c r="Q2390" s="16" t="s">
        <v>28</v>
      </c>
      <c r="R2390" s="17" t="s">
        <v>8410</v>
      </c>
      <c r="S2390" s="14" t="s">
        <v>8411</v>
      </c>
      <c r="T2390" s="11"/>
      <c r="U2390" s="10" t="str">
        <f>HYPERLINK("https://pbs.twimg.com/profile_images/1054454484557029376/HQNdyo_X.jpg","View")</f>
        <v>View</v>
      </c>
    </row>
    <row r="2391" spans="1:21" ht="20.399999999999999">
      <c r="A2391" s="6">
        <v>43424.245335648149</v>
      </c>
      <c r="B2391" s="7" t="str">
        <f>HYPERLINK("https://twitter.com/aniuskabolivar","@aniuskabolivar")</f>
        <v>@aniuskabolivar</v>
      </c>
      <c r="C2391" s="8" t="s">
        <v>5415</v>
      </c>
      <c r="D2391" s="9" t="s">
        <v>5416</v>
      </c>
      <c r="E2391" s="10" t="str">
        <f>HYPERLINK("https://twitter.com/aniuskabolivar/status/1064879353937518592","1064879353937518592")</f>
        <v>1064879353937518592</v>
      </c>
      <c r="F2391" s="11"/>
      <c r="G2391" s="14" t="s">
        <v>5417</v>
      </c>
      <c r="H2391" s="11"/>
      <c r="I2391" s="12">
        <v>0</v>
      </c>
      <c r="J2391" s="12">
        <v>0</v>
      </c>
      <c r="K2391" s="13" t="str">
        <f>HYPERLINK("http://twitter.com/download/iphone","Twitter for iPhone")</f>
        <v>Twitter for iPhone</v>
      </c>
      <c r="L2391" s="12">
        <v>150</v>
      </c>
      <c r="M2391" s="12">
        <v>508</v>
      </c>
      <c r="N2391" s="12">
        <v>0</v>
      </c>
      <c r="O2391" s="15"/>
      <c r="P2391" s="6">
        <v>40196.261712962965</v>
      </c>
      <c r="Q2391" s="16" t="s">
        <v>63</v>
      </c>
      <c r="R2391" s="17" t="s">
        <v>5418</v>
      </c>
      <c r="S2391" s="11"/>
      <c r="T2391" s="11"/>
      <c r="U2391" s="10" t="str">
        <f>HYPERLINK("https://pbs.twimg.com/profile_images/2126463147/oriol_s_angels.jpg","View")</f>
        <v>View</v>
      </c>
    </row>
    <row r="2392" spans="1:21" ht="30.6">
      <c r="A2392" s="6">
        <v>43424.244953703703</v>
      </c>
      <c r="B2392" s="7" t="str">
        <f>HYPERLINK("https://twitter.com/LD_Talavera","@LD_Talavera")</f>
        <v>@LD_Talavera</v>
      </c>
      <c r="C2392" s="8" t="s">
        <v>5420</v>
      </c>
      <c r="D2392" s="9" t="s">
        <v>5421</v>
      </c>
      <c r="E2392" s="10" t="str">
        <f>HYPERLINK("https://twitter.com/LD_Talavera/status/1064879215915528192","1064879215915528192")</f>
        <v>1064879215915528192</v>
      </c>
      <c r="F2392" s="14" t="s">
        <v>5422</v>
      </c>
      <c r="G2392" s="14" t="s">
        <v>5423</v>
      </c>
      <c r="H2392" s="11"/>
      <c r="I2392" s="12">
        <v>0</v>
      </c>
      <c r="J2392" s="12">
        <v>0</v>
      </c>
      <c r="K2392" s="13" t="str">
        <f t="shared" ref="K2392:K2393" si="493">HYPERLINK("http://twitter.com","Twitter Web Client")</f>
        <v>Twitter Web Client</v>
      </c>
      <c r="L2392" s="12">
        <v>382</v>
      </c>
      <c r="M2392" s="12">
        <v>291</v>
      </c>
      <c r="N2392" s="12">
        <v>3</v>
      </c>
      <c r="O2392" s="15"/>
      <c r="P2392" s="6">
        <v>42927.183738425927</v>
      </c>
      <c r="Q2392" s="16" t="s">
        <v>4080</v>
      </c>
      <c r="R2392" s="19"/>
      <c r="S2392" s="14" t="s">
        <v>5424</v>
      </c>
      <c r="T2392" s="11"/>
      <c r="U2392" s="10" t="str">
        <f>HYPERLINK("https://pbs.twimg.com/profile_images/889767493954392064/QX7SrQaI.jpg","View")</f>
        <v>View</v>
      </c>
    </row>
    <row r="2393" spans="1:21" ht="112.2">
      <c r="A2393" s="6">
        <v>43424.244583333333</v>
      </c>
      <c r="B2393" s="7" t="str">
        <f>HYPERLINK("https://twitter.com/Tataguay","@Tataguay")</f>
        <v>@Tataguay</v>
      </c>
      <c r="C2393" s="8" t="s">
        <v>1314</v>
      </c>
      <c r="D2393" s="9" t="s">
        <v>5427</v>
      </c>
      <c r="E2393" s="10" t="str">
        <f>HYPERLINK("https://twitter.com/Tataguay/status/1064879084285685761","1064879084285685761")</f>
        <v>1064879084285685761</v>
      </c>
      <c r="F2393" s="14" t="s">
        <v>5428</v>
      </c>
      <c r="G2393" s="11"/>
      <c r="H2393" s="11"/>
      <c r="I2393" s="12">
        <v>0</v>
      </c>
      <c r="J2393" s="12">
        <v>0</v>
      </c>
      <c r="K2393" s="13" t="str">
        <f t="shared" si="493"/>
        <v>Twitter Web Client</v>
      </c>
      <c r="L2393" s="12">
        <v>982</v>
      </c>
      <c r="M2393" s="12">
        <v>1892</v>
      </c>
      <c r="N2393" s="12">
        <v>4</v>
      </c>
      <c r="O2393" s="15"/>
      <c r="P2393" s="6">
        <v>40478.260636574072</v>
      </c>
      <c r="Q2393" s="16" t="s">
        <v>1320</v>
      </c>
      <c r="R2393" s="17" t="s">
        <v>1321</v>
      </c>
      <c r="S2393" s="11"/>
      <c r="T2393" s="11"/>
      <c r="U2393" s="10" t="str">
        <f>HYPERLINK("https://pbs.twimg.com/profile_images/914989519966998528/V5sg3EYQ.jpg","View")</f>
        <v>View</v>
      </c>
    </row>
    <row r="2394" spans="1:21" ht="40.799999999999997">
      <c r="A2394" s="6">
        <v>43424.243750000001</v>
      </c>
      <c r="B2394" s="7" t="str">
        <f>HYPERLINK("https://twitter.com/neWashMarbella","@neWashMarbella")</f>
        <v>@neWashMarbella</v>
      </c>
      <c r="C2394" s="8" t="s">
        <v>6241</v>
      </c>
      <c r="D2394" s="9" t="s">
        <v>8412</v>
      </c>
      <c r="E2394" s="10" t="str">
        <f>HYPERLINK("https://twitter.com/neWashMarbella/status/1064878780739698688","1064878780739698688")</f>
        <v>1064878780739698688</v>
      </c>
      <c r="F2394" s="14" t="s">
        <v>6694</v>
      </c>
      <c r="G2394" s="11"/>
      <c r="H2394" s="11"/>
      <c r="I2394" s="12">
        <v>0</v>
      </c>
      <c r="J2394" s="12">
        <v>0</v>
      </c>
      <c r="K2394" s="13" t="str">
        <f>HYPERLINK("http://www.facebook.com/twitter","Facebook")</f>
        <v>Facebook</v>
      </c>
      <c r="L2394" s="12">
        <v>623</v>
      </c>
      <c r="M2394" s="12">
        <v>1619</v>
      </c>
      <c r="N2394" s="12">
        <v>1</v>
      </c>
      <c r="O2394" s="15"/>
      <c r="P2394" s="6">
        <v>42127.511643518519</v>
      </c>
      <c r="Q2394" s="11"/>
      <c r="R2394" s="19"/>
      <c r="S2394" s="11"/>
      <c r="T2394" s="11"/>
      <c r="U2394" s="10" t="str">
        <f>HYPERLINK("https://pbs.twimg.com/profile_images/1033765960342228993/KPSIo5sv.jpg","View")</f>
        <v>View</v>
      </c>
    </row>
    <row r="2395" spans="1:21" ht="51">
      <c r="A2395" s="6">
        <v>43424.242604166662</v>
      </c>
      <c r="B2395" s="7" t="str">
        <f>HYPERLINK("https://twitter.com/drcarlosramoshg","@drcarlosramoshg")</f>
        <v>@drcarlosramoshg</v>
      </c>
      <c r="C2395" s="8" t="s">
        <v>5432</v>
      </c>
      <c r="D2395" s="9" t="s">
        <v>5433</v>
      </c>
      <c r="E2395" s="10" t="str">
        <f>HYPERLINK("https://twitter.com/drcarlosramoshg/status/1064878367307116544","1064878367307116544")</f>
        <v>1064878367307116544</v>
      </c>
      <c r="F2395" s="14" t="s">
        <v>5434</v>
      </c>
      <c r="G2395" s="11"/>
      <c r="H2395" s="11"/>
      <c r="I2395" s="12">
        <v>0</v>
      </c>
      <c r="J2395" s="12">
        <v>0</v>
      </c>
      <c r="K2395" s="13" t="str">
        <f t="shared" ref="K2395:K2396" si="494">HYPERLINK("http://twitter.com/download/iphone","Twitter for iPhone")</f>
        <v>Twitter for iPhone</v>
      </c>
      <c r="L2395" s="12">
        <v>58</v>
      </c>
      <c r="M2395" s="12">
        <v>44</v>
      </c>
      <c r="N2395" s="12">
        <v>0</v>
      </c>
      <c r="O2395" s="15"/>
      <c r="P2395" s="6">
        <v>40980.232141203705</v>
      </c>
      <c r="Q2395" s="16" t="s">
        <v>5438</v>
      </c>
      <c r="R2395" s="17" t="s">
        <v>5439</v>
      </c>
      <c r="S2395" s="11"/>
      <c r="T2395" s="11"/>
      <c r="U2395" s="10" t="str">
        <f>HYPERLINK("https://pbs.twimg.com/profile_images/1891181617/image.jpg","View")</f>
        <v>View</v>
      </c>
    </row>
    <row r="2396" spans="1:21" ht="71.400000000000006">
      <c r="A2396" s="6">
        <v>43424.241863425923</v>
      </c>
      <c r="B2396" s="7" t="str">
        <f>HYPERLINK("https://twitter.com/leyendaurbanaxx","@leyendaurbanaxx")</f>
        <v>@leyendaurbanaxx</v>
      </c>
      <c r="C2396" s="8" t="s">
        <v>5440</v>
      </c>
      <c r="D2396" s="9" t="s">
        <v>5441</v>
      </c>
      <c r="E2396" s="10" t="str">
        <f>HYPERLINK("https://twitter.com/leyendaurbanaxx/status/1064878097978281984","1064878097978281984")</f>
        <v>1064878097978281984</v>
      </c>
      <c r="F2396" s="16" t="s">
        <v>5442</v>
      </c>
      <c r="G2396" s="11"/>
      <c r="H2396" s="11"/>
      <c r="I2396" s="12">
        <v>0</v>
      </c>
      <c r="J2396" s="12">
        <v>0</v>
      </c>
      <c r="K2396" s="13" t="str">
        <f t="shared" si="494"/>
        <v>Twitter for iPhone</v>
      </c>
      <c r="L2396" s="12">
        <v>7</v>
      </c>
      <c r="M2396" s="12">
        <v>54</v>
      </c>
      <c r="N2396" s="12">
        <v>0</v>
      </c>
      <c r="O2396" s="15"/>
      <c r="P2396" s="6">
        <v>43424.116435185184</v>
      </c>
      <c r="Q2396" s="11"/>
      <c r="R2396" s="19"/>
      <c r="S2396" s="11"/>
      <c r="T2396" s="11"/>
      <c r="U2396" s="10" t="str">
        <f>HYPERLINK("https://pbs.twimg.com/profile_images/1064837066440261632/mJfLaKsH.jpg","View")</f>
        <v>View</v>
      </c>
    </row>
    <row r="2397" spans="1:21" ht="51">
      <c r="A2397" s="6">
        <v>43424.240150462967</v>
      </c>
      <c r="B2397" s="7" t="str">
        <f>HYPERLINK("https://twitter.com/AlbertoPugilato","@AlbertoPugilato")</f>
        <v>@AlbertoPugilato</v>
      </c>
      <c r="C2397" s="8" t="s">
        <v>8413</v>
      </c>
      <c r="D2397" s="9" t="s">
        <v>8414</v>
      </c>
      <c r="E2397" s="10" t="str">
        <f>HYPERLINK("https://twitter.com/AlbertoPugilato/status/1064877474486587393","1064877474486587393")</f>
        <v>1064877474486587393</v>
      </c>
      <c r="F2397" s="11"/>
      <c r="G2397" s="11"/>
      <c r="H2397" s="11"/>
      <c r="I2397" s="12">
        <v>113</v>
      </c>
      <c r="J2397" s="12">
        <v>214</v>
      </c>
      <c r="K2397" s="13" t="str">
        <f t="shared" ref="K2397:K2398" si="495">HYPERLINK("http://twitter.com/download/android","Twitter for Android")</f>
        <v>Twitter for Android</v>
      </c>
      <c r="L2397" s="12">
        <v>5679</v>
      </c>
      <c r="M2397" s="12">
        <v>283</v>
      </c>
      <c r="N2397" s="12">
        <v>23</v>
      </c>
      <c r="O2397" s="15"/>
      <c r="P2397" s="6">
        <v>41925.172974537039</v>
      </c>
      <c r="Q2397" s="16" t="s">
        <v>1945</v>
      </c>
      <c r="R2397" s="17" t="s">
        <v>8415</v>
      </c>
      <c r="S2397" s="14" t="s">
        <v>8416</v>
      </c>
      <c r="T2397" s="11"/>
      <c r="U2397" s="10" t="str">
        <f>HYPERLINK("https://pbs.twimg.com/profile_images/1044660827930980352/PvtXT-4q.jpg","View")</f>
        <v>View</v>
      </c>
    </row>
    <row r="2398" spans="1:21" ht="71.400000000000006">
      <c r="A2398" s="6">
        <v>43424.236307870371</v>
      </c>
      <c r="B2398" s="7" t="str">
        <f>HYPERLINK("https://twitter.com/ViendoElPercal_","@ViendoElPercal_")</f>
        <v>@ViendoElPercal_</v>
      </c>
      <c r="C2398" s="8" t="s">
        <v>5443</v>
      </c>
      <c r="D2398" s="9" t="s">
        <v>5444</v>
      </c>
      <c r="E2398" s="10" t="str">
        <f>HYPERLINK("https://twitter.com/ViendoElPercal_/status/1064876084875980800","1064876084875980800")</f>
        <v>1064876084875980800</v>
      </c>
      <c r="F2398" s="16" t="s">
        <v>5445</v>
      </c>
      <c r="G2398" s="11"/>
      <c r="H2398" s="11"/>
      <c r="I2398" s="12">
        <v>0</v>
      </c>
      <c r="J2398" s="12">
        <v>0</v>
      </c>
      <c r="K2398" s="13" t="str">
        <f t="shared" si="495"/>
        <v>Twitter for Android</v>
      </c>
      <c r="L2398" s="12">
        <v>224</v>
      </c>
      <c r="M2398" s="12">
        <v>150</v>
      </c>
      <c r="N2398" s="12">
        <v>0</v>
      </c>
      <c r="O2398" s="15"/>
      <c r="P2398" s="6">
        <v>43304.195057870369</v>
      </c>
      <c r="Q2398" s="16" t="s">
        <v>5446</v>
      </c>
      <c r="R2398" s="17" t="s">
        <v>5447</v>
      </c>
      <c r="S2398" s="11"/>
      <c r="T2398" s="11"/>
      <c r="U2398" s="10" t="str">
        <f>HYPERLINK("https://pbs.twimg.com/profile_images/1062882226323578880/5NGehVXt.jpg","View")</f>
        <v>View</v>
      </c>
    </row>
    <row r="2399" spans="1:21" ht="51">
      <c r="A2399" s="6">
        <v>43424.236307870371</v>
      </c>
      <c r="B2399" s="7" t="str">
        <f>HYPERLINK("https://twitter.com/leyendaurbanaxx","@leyendaurbanaxx")</f>
        <v>@leyendaurbanaxx</v>
      </c>
      <c r="C2399" s="8" t="s">
        <v>5440</v>
      </c>
      <c r="D2399" s="9" t="s">
        <v>5450</v>
      </c>
      <c r="E2399" s="10" t="str">
        <f>HYPERLINK("https://twitter.com/leyendaurbanaxx/status/1064876084787900417","1064876084787900417")</f>
        <v>1064876084787900417</v>
      </c>
      <c r="F2399" s="16" t="s">
        <v>5451</v>
      </c>
      <c r="G2399" s="14" t="s">
        <v>5452</v>
      </c>
      <c r="H2399" s="11"/>
      <c r="I2399" s="12">
        <v>0</v>
      </c>
      <c r="J2399" s="12">
        <v>0</v>
      </c>
      <c r="K2399" s="13" t="str">
        <f>HYPERLINK("http://twitter.com/download/iphone","Twitter for iPhone")</f>
        <v>Twitter for iPhone</v>
      </c>
      <c r="L2399" s="12">
        <v>7</v>
      </c>
      <c r="M2399" s="12">
        <v>54</v>
      </c>
      <c r="N2399" s="12">
        <v>0</v>
      </c>
      <c r="O2399" s="15"/>
      <c r="P2399" s="6">
        <v>43424.116435185184</v>
      </c>
      <c r="Q2399" s="11"/>
      <c r="R2399" s="19"/>
      <c r="S2399" s="11"/>
      <c r="T2399" s="11"/>
      <c r="U2399" s="10" t="str">
        <f>HYPERLINK("https://pbs.twimg.com/profile_images/1064837066440261632/mJfLaKsH.jpg","View")</f>
        <v>View</v>
      </c>
    </row>
    <row r="2400" spans="1:21" ht="40.799999999999997">
      <c r="A2400" s="6">
        <v>43424.236238425925</v>
      </c>
      <c r="B2400" s="7" t="str">
        <f>HYPERLINK("https://twitter.com/grancocolio","@grancocolio")</f>
        <v>@grancocolio</v>
      </c>
      <c r="C2400" s="8" t="s">
        <v>7898</v>
      </c>
      <c r="D2400" s="9" t="s">
        <v>8417</v>
      </c>
      <c r="E2400" s="10" t="str">
        <f>HYPERLINK("https://twitter.com/grancocolio/status/1064876057965326336","1064876057965326336")</f>
        <v>1064876057965326336</v>
      </c>
      <c r="F2400" s="11"/>
      <c r="G2400" s="14" t="s">
        <v>8418</v>
      </c>
      <c r="H2400" s="11"/>
      <c r="I2400" s="12">
        <v>102</v>
      </c>
      <c r="J2400" s="12">
        <v>97</v>
      </c>
      <c r="K2400" s="13" t="str">
        <f>HYPERLINK("http://twitter.com/#!/download/ipad","Twitter for iPad")</f>
        <v>Twitter for iPad</v>
      </c>
      <c r="L2400" s="12">
        <v>44110</v>
      </c>
      <c r="M2400" s="12">
        <v>36147</v>
      </c>
      <c r="N2400" s="12">
        <v>164</v>
      </c>
      <c r="O2400" s="15"/>
      <c r="P2400" s="6">
        <v>42255.218958333338</v>
      </c>
      <c r="Q2400" s="11"/>
      <c r="R2400" s="17" t="s">
        <v>7900</v>
      </c>
      <c r="S2400" s="11"/>
      <c r="T2400" s="11"/>
      <c r="U2400" s="10" t="str">
        <f>HYPERLINK("https://pbs.twimg.com/profile_images/1029713060292976640/qB1QulA-.jpg","View")</f>
        <v>View</v>
      </c>
    </row>
    <row r="2401" spans="1:21" ht="51">
      <c r="A2401" s="6">
        <v>43424.235717592594</v>
      </c>
      <c r="B2401" s="7" t="str">
        <f>HYPERLINK("https://twitter.com/JMLardies","@JMLardies")</f>
        <v>@JMLardies</v>
      </c>
      <c r="C2401" s="8" t="s">
        <v>8419</v>
      </c>
      <c r="D2401" s="9" t="s">
        <v>8420</v>
      </c>
      <c r="E2401" s="10" t="str">
        <f>HYPERLINK("https://twitter.com/JMLardies/status/1064875872006606848","1064875872006606848")</f>
        <v>1064875872006606848</v>
      </c>
      <c r="F2401" s="14" t="s">
        <v>8421</v>
      </c>
      <c r="G2401" s="11"/>
      <c r="H2401" s="11"/>
      <c r="I2401" s="12">
        <v>0</v>
      </c>
      <c r="J2401" s="12">
        <v>0</v>
      </c>
      <c r="K2401" s="13" t="str">
        <f>HYPERLINK("http://twitter.com/download/iphone","Twitter for iPhone")</f>
        <v>Twitter for iPhone</v>
      </c>
      <c r="L2401" s="12">
        <v>656</v>
      </c>
      <c r="M2401" s="12">
        <v>659</v>
      </c>
      <c r="N2401" s="12">
        <v>20</v>
      </c>
      <c r="O2401" s="15"/>
      <c r="P2401" s="6">
        <v>40549.358784722222</v>
      </c>
      <c r="Q2401" s="16" t="s">
        <v>8422</v>
      </c>
      <c r="R2401" s="17" t="s">
        <v>8423</v>
      </c>
      <c r="S2401" s="11"/>
      <c r="T2401" s="11"/>
      <c r="U2401" s="10" t="str">
        <f>HYPERLINK("https://pbs.twimg.com/profile_images/1058315376726106113/nIldCCxX.jpg","View")</f>
        <v>View</v>
      </c>
    </row>
    <row r="2402" spans="1:21" ht="71.400000000000006">
      <c r="A2402" s="6">
        <v>43424.233483796299</v>
      </c>
      <c r="B2402" s="7" t="str">
        <f>HYPERLINK("https://twitter.com/redhostel","@redhostel")</f>
        <v>@redhostel</v>
      </c>
      <c r="C2402" s="8" t="s">
        <v>5456</v>
      </c>
      <c r="D2402" s="9" t="s">
        <v>5457</v>
      </c>
      <c r="E2402" s="10" t="str">
        <f>HYPERLINK("https://twitter.com/redhostel/status/1064875058949165056","1064875058949165056")</f>
        <v>1064875058949165056</v>
      </c>
      <c r="F2402" s="11"/>
      <c r="G2402" s="14" t="s">
        <v>5458</v>
      </c>
      <c r="H2402" s="11"/>
      <c r="I2402" s="12">
        <v>24</v>
      </c>
      <c r="J2402" s="12">
        <v>25</v>
      </c>
      <c r="K2402" s="13" t="str">
        <f t="shared" ref="K2402:K2403" si="496">HYPERLINK("http://twitter.com","Twitter Web Client")</f>
        <v>Twitter Web Client</v>
      </c>
      <c r="L2402" s="12">
        <v>555</v>
      </c>
      <c r="M2402" s="12">
        <v>305</v>
      </c>
      <c r="N2402" s="12">
        <v>13</v>
      </c>
      <c r="O2402" s="15"/>
      <c r="P2402" s="6">
        <v>40402.473657407405</v>
      </c>
      <c r="Q2402" s="16" t="s">
        <v>5459</v>
      </c>
      <c r="R2402" s="17" t="s">
        <v>5460</v>
      </c>
      <c r="S2402" s="14" t="s">
        <v>5461</v>
      </c>
      <c r="T2402" s="11"/>
      <c r="U2402" s="10" t="str">
        <f>HYPERLINK("https://pbs.twimg.com/profile_images/1101470456/287143077_e934d959c1.jpg","View")</f>
        <v>View</v>
      </c>
    </row>
    <row r="2403" spans="1:21" ht="20.399999999999999">
      <c r="A2403" s="6">
        <v>43424.232534722221</v>
      </c>
      <c r="B2403" s="7" t="str">
        <f>HYPERLINK("https://twitter.com/CesarNoelAlvare","@CesarNoelAlvare")</f>
        <v>@CesarNoelAlvare</v>
      </c>
      <c r="C2403" s="8" t="s">
        <v>8424</v>
      </c>
      <c r="D2403" s="9" t="s">
        <v>7848</v>
      </c>
      <c r="E2403" s="10" t="str">
        <f>HYPERLINK("https://twitter.com/CesarNoelAlvare/status/1064874714928226305","1064874714928226305")</f>
        <v>1064874714928226305</v>
      </c>
      <c r="F2403" s="14" t="s">
        <v>2122</v>
      </c>
      <c r="G2403" s="11"/>
      <c r="H2403" s="11"/>
      <c r="I2403" s="12">
        <v>0</v>
      </c>
      <c r="J2403" s="12">
        <v>0</v>
      </c>
      <c r="K2403" s="13" t="str">
        <f t="shared" si="496"/>
        <v>Twitter Web Client</v>
      </c>
      <c r="L2403" s="12">
        <v>441</v>
      </c>
      <c r="M2403" s="12">
        <v>1883</v>
      </c>
      <c r="N2403" s="12">
        <v>4</v>
      </c>
      <c r="O2403" s="15"/>
      <c r="P2403" s="6">
        <v>41132.29111111111</v>
      </c>
      <c r="Q2403" s="11"/>
      <c r="R2403" s="17" t="s">
        <v>8425</v>
      </c>
      <c r="S2403" s="11"/>
      <c r="T2403" s="11"/>
      <c r="U2403" s="10" t="str">
        <f>HYPERLINK("https://pbs.twimg.com/profile_images/1061958919000674304/gDDGeTdq.jpg","View")</f>
        <v>View</v>
      </c>
    </row>
    <row r="2404" spans="1:21" ht="30.6">
      <c r="A2404" s="6">
        <v>43424.23101851852</v>
      </c>
      <c r="B2404" s="7" t="str">
        <f>HYPERLINK("https://twitter.com/DebatAlRojoVivo","@DebatAlRojoVivo")</f>
        <v>@DebatAlRojoVivo</v>
      </c>
      <c r="C2404" s="8" t="s">
        <v>563</v>
      </c>
      <c r="D2404" s="9" t="s">
        <v>4982</v>
      </c>
      <c r="E2404" s="10" t="str">
        <f>HYPERLINK("https://twitter.com/DebatAlRojoVivo/status/1064874167638650880","1064874167638650880")</f>
        <v>1064874167638650880</v>
      </c>
      <c r="F2404" s="14" t="s">
        <v>5462</v>
      </c>
      <c r="G2404" s="11"/>
      <c r="H2404" s="11"/>
      <c r="I2404" s="12">
        <v>14</v>
      </c>
      <c r="J2404" s="12">
        <v>45</v>
      </c>
      <c r="K2404" s="13" t="str">
        <f>HYPERLINK("http://dogtrack.es","DogTrack_Oficial")</f>
        <v>DogTrack_Oficial</v>
      </c>
      <c r="L2404" s="12">
        <v>484474</v>
      </c>
      <c r="M2404" s="12">
        <v>279</v>
      </c>
      <c r="N2404" s="12">
        <v>2909</v>
      </c>
      <c r="O2404" s="18" t="s">
        <v>52</v>
      </c>
      <c r="P2404" s="6">
        <v>40555.49763888889</v>
      </c>
      <c r="Q2404" s="11"/>
      <c r="R2404" s="17" t="s">
        <v>567</v>
      </c>
      <c r="S2404" s="14" t="s">
        <v>568</v>
      </c>
      <c r="T2404" s="11"/>
      <c r="U2404" s="10" t="str">
        <f>HYPERLINK("https://pbs.twimg.com/profile_images/1063014308857237504/GEyVz5-l.jpg","View")</f>
        <v>View</v>
      </c>
    </row>
    <row r="2405" spans="1:21" ht="61.2">
      <c r="A2405" s="6">
        <v>43424.230486111112</v>
      </c>
      <c r="B2405" s="7" t="str">
        <f>HYPERLINK("https://twitter.com/Dulcedelechoza1","@Dulcedelechoza1")</f>
        <v>@Dulcedelechoza1</v>
      </c>
      <c r="C2405" s="8" t="s">
        <v>5463</v>
      </c>
      <c r="D2405" s="9" t="s">
        <v>5464</v>
      </c>
      <c r="E2405" s="10" t="str">
        <f>HYPERLINK("https://twitter.com/Dulcedelechoza1/status/1064873974398664704","1064873974398664704")</f>
        <v>1064873974398664704</v>
      </c>
      <c r="F2405" s="14" t="s">
        <v>5465</v>
      </c>
      <c r="G2405" s="11"/>
      <c r="H2405" s="11"/>
      <c r="I2405" s="12">
        <v>0</v>
      </c>
      <c r="J2405" s="12">
        <v>0</v>
      </c>
      <c r="K2405" s="13" t="str">
        <f>HYPERLINK("http://twitter.com","Twitter Web Client")</f>
        <v>Twitter Web Client</v>
      </c>
      <c r="L2405" s="12">
        <v>334</v>
      </c>
      <c r="M2405" s="12">
        <v>199</v>
      </c>
      <c r="N2405" s="12">
        <v>12</v>
      </c>
      <c r="O2405" s="15"/>
      <c r="P2405" s="6">
        <v>41439.832997685182</v>
      </c>
      <c r="Q2405" s="11"/>
      <c r="R2405" s="19"/>
      <c r="S2405" s="11"/>
      <c r="T2405" s="11"/>
      <c r="U2405" s="10" t="str">
        <f>HYPERLINK("https://pbs.twimg.com/profile_images/344513261580413695/4730ca2c66c2e68f592e09392400cdd7.jpeg","View")</f>
        <v>View</v>
      </c>
    </row>
    <row r="2406" spans="1:21" ht="40.799999999999997">
      <c r="A2406" s="6">
        <v>43424.229722222226</v>
      </c>
      <c r="B2406" s="7" t="str">
        <f>HYPERLINK("https://twitter.com/HoyxHoyVzla","@HoyxHoyVzla")</f>
        <v>@HoyxHoyVzla</v>
      </c>
      <c r="C2406" s="8" t="s">
        <v>8426</v>
      </c>
      <c r="D2406" s="9" t="s">
        <v>8427</v>
      </c>
      <c r="E2406" s="10" t="str">
        <f>HYPERLINK("https://twitter.com/HoyxHoyVzla/status/1064873697633161217","1064873697633161217")</f>
        <v>1064873697633161217</v>
      </c>
      <c r="F2406" s="14" t="s">
        <v>8428</v>
      </c>
      <c r="G2406" s="11"/>
      <c r="H2406" s="11"/>
      <c r="I2406" s="12">
        <v>0</v>
      </c>
      <c r="J2406" s="12">
        <v>0</v>
      </c>
      <c r="K2406" s="13" t="str">
        <f>HYPERLINK("http://instagram.com","Instagram")</f>
        <v>Instagram</v>
      </c>
      <c r="L2406" s="12">
        <v>218</v>
      </c>
      <c r="M2406" s="12">
        <v>674</v>
      </c>
      <c r="N2406" s="12">
        <v>8</v>
      </c>
      <c r="O2406" s="15"/>
      <c r="P2406" s="6">
        <v>41771.262650462959</v>
      </c>
      <c r="Q2406" s="11"/>
      <c r="R2406" s="17" t="s">
        <v>8429</v>
      </c>
      <c r="S2406" s="11"/>
      <c r="T2406" s="11"/>
      <c r="U2406" s="10" t="str">
        <f>HYPERLINK("https://pbs.twimg.com/profile_images/876132549445242881/Tj9nkwmp.jpg","View")</f>
        <v>View</v>
      </c>
    </row>
    <row r="2407" spans="1:21" ht="20.399999999999999">
      <c r="A2407" s="6">
        <v>43424.228819444441</v>
      </c>
      <c r="B2407" s="7" t="str">
        <f>HYPERLINK("https://twitter.com/MribelReal2","@MribelReal2")</f>
        <v>@MribelReal2</v>
      </c>
      <c r="C2407" s="8" t="s">
        <v>8430</v>
      </c>
      <c r="D2407" s="9" t="s">
        <v>8024</v>
      </c>
      <c r="E2407" s="10" t="str">
        <f>HYPERLINK("https://twitter.com/MribelReal2/status/1064873371433951234","1064873371433951234")</f>
        <v>1064873371433951234</v>
      </c>
      <c r="F2407" s="14" t="s">
        <v>8025</v>
      </c>
      <c r="G2407" s="11"/>
      <c r="H2407" s="11"/>
      <c r="I2407" s="12">
        <v>0</v>
      </c>
      <c r="J2407" s="12">
        <v>1</v>
      </c>
      <c r="K2407" s="13" t="str">
        <f>HYPERLINK("http://twitter.com/download/android","Twitter for Android")</f>
        <v>Twitter for Android</v>
      </c>
      <c r="L2407" s="12">
        <v>997</v>
      </c>
      <c r="M2407" s="12">
        <v>928</v>
      </c>
      <c r="N2407" s="12">
        <v>9</v>
      </c>
      <c r="O2407" s="15"/>
      <c r="P2407" s="6">
        <v>42565.368020833332</v>
      </c>
      <c r="Q2407" s="16" t="s">
        <v>8431</v>
      </c>
      <c r="R2407" s="17" t="s">
        <v>8432</v>
      </c>
      <c r="S2407" s="11"/>
      <c r="T2407" s="11"/>
      <c r="U2407" s="10" t="str">
        <f>HYPERLINK("https://pbs.twimg.com/profile_images/1053058196548603906/9jh3UXG0.jpg","View")</f>
        <v>View</v>
      </c>
    </row>
    <row r="2408" spans="1:21" ht="40.799999999999997">
      <c r="A2408" s="6">
        <v>43424.227824074071</v>
      </c>
      <c r="B2408" s="7" t="str">
        <f>HYPERLINK("https://twitter.com/blasco_pepe","@blasco_pepe")</f>
        <v>@blasco_pepe</v>
      </c>
      <c r="C2408" s="8" t="s">
        <v>8433</v>
      </c>
      <c r="D2408" s="9" t="s">
        <v>8434</v>
      </c>
      <c r="E2408" s="10" t="str">
        <f>HYPERLINK("https://twitter.com/blasco_pepe/status/1064873008144285696","1064873008144285696")</f>
        <v>1064873008144285696</v>
      </c>
      <c r="F2408" s="14" t="s">
        <v>8435</v>
      </c>
      <c r="G2408" s="11"/>
      <c r="H2408" s="11"/>
      <c r="I2408" s="12">
        <v>0</v>
      </c>
      <c r="J2408" s="12">
        <v>0</v>
      </c>
      <c r="K2408" s="13" t="str">
        <f t="shared" ref="K2408:K2409" si="497">HYPERLINK("http://twitter.com","Twitter Web Client")</f>
        <v>Twitter Web Client</v>
      </c>
      <c r="L2408" s="12">
        <v>1603</v>
      </c>
      <c r="M2408" s="12">
        <v>2181</v>
      </c>
      <c r="N2408" s="12">
        <v>38</v>
      </c>
      <c r="O2408" s="15"/>
      <c r="P2408" s="6">
        <v>40681.174479166664</v>
      </c>
      <c r="Q2408" s="16" t="s">
        <v>8436</v>
      </c>
      <c r="R2408" s="17" t="s">
        <v>8437</v>
      </c>
      <c r="S2408" s="11"/>
      <c r="T2408" s="11"/>
      <c r="U2408" s="10" t="str">
        <f>HYPERLINK("https://pbs.twimg.com/profile_images/922599355898613762/OobumNpQ.jpg","View")</f>
        <v>View</v>
      </c>
    </row>
    <row r="2409" spans="1:21" ht="20.399999999999999">
      <c r="A2409" s="6">
        <v>43424.227766203709</v>
      </c>
      <c r="B2409" s="7" t="str">
        <f>HYPERLINK("https://twitter.com/PedroViruega","@PedroViruega")</f>
        <v>@PedroViruega</v>
      </c>
      <c r="C2409" s="8" t="s">
        <v>8438</v>
      </c>
      <c r="D2409" s="9" t="s">
        <v>8024</v>
      </c>
      <c r="E2409" s="10" t="str">
        <f>HYPERLINK("https://twitter.com/PedroViruega/status/1064872987495723009","1064872987495723009")</f>
        <v>1064872987495723009</v>
      </c>
      <c r="F2409" s="14" t="s">
        <v>8025</v>
      </c>
      <c r="G2409" s="11"/>
      <c r="H2409" s="11"/>
      <c r="I2409" s="12">
        <v>3</v>
      </c>
      <c r="J2409" s="12">
        <v>0</v>
      </c>
      <c r="K2409" s="13" t="str">
        <f t="shared" si="497"/>
        <v>Twitter Web Client</v>
      </c>
      <c r="L2409" s="12">
        <v>792</v>
      </c>
      <c r="M2409" s="12">
        <v>2901</v>
      </c>
      <c r="N2409" s="12">
        <v>0</v>
      </c>
      <c r="O2409" s="15"/>
      <c r="P2409" s="6">
        <v>40476.266539351855</v>
      </c>
      <c r="Q2409" s="11"/>
      <c r="R2409" s="19"/>
      <c r="S2409" s="14" t="s">
        <v>8439</v>
      </c>
      <c r="T2409" s="11"/>
      <c r="U2409" s="10" t="str">
        <f>HYPERLINK("https://pbs.twimg.com/profile_images/957380005448835072/5TTX8UKi.jpg","View")</f>
        <v>View</v>
      </c>
    </row>
    <row r="2410" spans="1:21" ht="30.6">
      <c r="A2410" s="6">
        <v>43424.227175925931</v>
      </c>
      <c r="B2410" s="7" t="str">
        <f>HYPERLINK("https://twitter.com/DaniGagoPhoto","@DaniGagoPhoto")</f>
        <v>@DaniGagoPhoto</v>
      </c>
      <c r="C2410" s="8" t="s">
        <v>8298</v>
      </c>
      <c r="D2410" s="9" t="s">
        <v>8440</v>
      </c>
      <c r="E2410" s="10" t="str">
        <f>HYPERLINK("https://twitter.com/DaniGagoPhoto/status/1064872775817576449","1064872775817576449")</f>
        <v>1064872775817576449</v>
      </c>
      <c r="F2410" s="11"/>
      <c r="G2410" s="14" t="s">
        <v>8441</v>
      </c>
      <c r="H2410" s="11"/>
      <c r="I2410" s="12">
        <v>81</v>
      </c>
      <c r="J2410" s="12">
        <v>119</v>
      </c>
      <c r="K2410" s="13" t="str">
        <f t="shared" ref="K2410:K2411" si="498">HYPERLINK("http://twitter.com/download/android","Twitter for Android")</f>
        <v>Twitter for Android</v>
      </c>
      <c r="L2410" s="12">
        <v>6102</v>
      </c>
      <c r="M2410" s="12">
        <v>1288</v>
      </c>
      <c r="N2410" s="12">
        <v>48</v>
      </c>
      <c r="O2410" s="15"/>
      <c r="P2410" s="6">
        <v>42862.359722222223</v>
      </c>
      <c r="Q2410" s="16" t="s">
        <v>8301</v>
      </c>
      <c r="R2410" s="17" t="s">
        <v>8302</v>
      </c>
      <c r="S2410" s="14" t="s">
        <v>8303</v>
      </c>
      <c r="T2410" s="11"/>
      <c r="U2410" s="10" t="str">
        <f>HYPERLINK("https://pbs.twimg.com/profile_images/861245248248451073/WJ7ZNxRw.jpg","View")</f>
        <v>View</v>
      </c>
    </row>
    <row r="2411" spans="1:21" ht="30.6">
      <c r="A2411" s="6">
        <v>43424.227164351847</v>
      </c>
      <c r="B2411" s="7" t="str">
        <f>HYPERLINK("https://twitter.com/PeregrinoCuster","@PeregrinoCuster")</f>
        <v>@PeregrinoCuster</v>
      </c>
      <c r="C2411" s="8" t="s">
        <v>8442</v>
      </c>
      <c r="D2411" s="9" t="s">
        <v>8443</v>
      </c>
      <c r="E2411" s="10" t="str">
        <f>HYPERLINK("https://twitter.com/PeregrinoCuster/status/1064872769245061120","1064872769245061120")</f>
        <v>1064872769245061120</v>
      </c>
      <c r="F2411" s="11"/>
      <c r="G2411" s="11"/>
      <c r="H2411" s="11"/>
      <c r="I2411" s="12">
        <v>0</v>
      </c>
      <c r="J2411" s="12">
        <v>0</v>
      </c>
      <c r="K2411" s="13" t="str">
        <f t="shared" si="498"/>
        <v>Twitter for Android</v>
      </c>
      <c r="L2411" s="12">
        <v>66</v>
      </c>
      <c r="M2411" s="12">
        <v>249</v>
      </c>
      <c r="N2411" s="12">
        <v>0</v>
      </c>
      <c r="O2411" s="15"/>
      <c r="P2411" s="6">
        <v>42538.458819444444</v>
      </c>
      <c r="Q2411" s="11"/>
      <c r="R2411" s="17" t="s">
        <v>8444</v>
      </c>
      <c r="S2411" s="11"/>
      <c r="T2411" s="11"/>
      <c r="U2411" s="10" t="str">
        <f>HYPERLINK("https://pbs.twimg.com/profile_images/743866786882392066/aT3G6thZ.jpg","View")</f>
        <v>View</v>
      </c>
    </row>
    <row r="2412" spans="1:21" ht="51">
      <c r="A2412" s="6">
        <v>43424.226412037038</v>
      </c>
      <c r="B2412" s="7" t="str">
        <f>HYPERLINK("https://twitter.com/jorge_17gonzlez","@jorge_17gonzlez")</f>
        <v>@jorge_17gonzlez</v>
      </c>
      <c r="C2412" s="8" t="s">
        <v>5467</v>
      </c>
      <c r="D2412" s="9" t="s">
        <v>5468</v>
      </c>
      <c r="E2412" s="10" t="str">
        <f>HYPERLINK("https://twitter.com/jorge_17gonzlez/status/1064872496078487558","1064872496078487558")</f>
        <v>1064872496078487558</v>
      </c>
      <c r="F2412" s="11"/>
      <c r="G2412" s="11"/>
      <c r="H2412" s="11"/>
      <c r="I2412" s="12">
        <v>1</v>
      </c>
      <c r="J2412" s="12">
        <v>0</v>
      </c>
      <c r="K2412" s="13" t="str">
        <f>HYPERLINK("http://twitter.com","Twitter Web Client")</f>
        <v>Twitter Web Client</v>
      </c>
      <c r="L2412" s="12">
        <v>380</v>
      </c>
      <c r="M2412" s="12">
        <v>241</v>
      </c>
      <c r="N2412" s="12">
        <v>7</v>
      </c>
      <c r="O2412" s="15"/>
      <c r="P2412" s="6">
        <v>40848.404629629629</v>
      </c>
      <c r="Q2412" s="16" t="s">
        <v>5469</v>
      </c>
      <c r="R2412" s="17" t="s">
        <v>5470</v>
      </c>
      <c r="S2412" s="11"/>
      <c r="T2412" s="11"/>
      <c r="U2412" s="10" t="str">
        <f>HYPERLINK("https://pbs.twimg.com/profile_images/1058076676767264769/zutk3GKT.jpg","View")</f>
        <v>View</v>
      </c>
    </row>
    <row r="2413" spans="1:21" ht="51">
      <c r="A2413" s="6">
        <v>43424.223726851851</v>
      </c>
      <c r="B2413" s="7" t="str">
        <f>HYPERLINK("https://twitter.com/espadadeamazona","@espadadeamazona")</f>
        <v>@espadadeamazona</v>
      </c>
      <c r="C2413" s="8" t="s">
        <v>5471</v>
      </c>
      <c r="D2413" s="9" t="s">
        <v>5472</v>
      </c>
      <c r="E2413" s="10" t="str">
        <f>HYPERLINK("https://twitter.com/espadadeamazona/status/1064871525571006466","1064871525571006466")</f>
        <v>1064871525571006466</v>
      </c>
      <c r="F2413" s="14" t="s">
        <v>5473</v>
      </c>
      <c r="G2413" s="11"/>
      <c r="H2413" s="11"/>
      <c r="I2413" s="12">
        <v>1</v>
      </c>
      <c r="J2413" s="12">
        <v>1</v>
      </c>
      <c r="K2413" s="13" t="str">
        <f t="shared" ref="K2413:K2414" si="499">HYPERLINK("http://twitter.com/download/android","Twitter for Android")</f>
        <v>Twitter for Android</v>
      </c>
      <c r="L2413" s="12">
        <v>39</v>
      </c>
      <c r="M2413" s="12">
        <v>174</v>
      </c>
      <c r="N2413" s="12">
        <v>0</v>
      </c>
      <c r="O2413" s="15"/>
      <c r="P2413" s="6">
        <v>43264.658564814818</v>
      </c>
      <c r="Q2413" s="16" t="s">
        <v>5474</v>
      </c>
      <c r="R2413" s="17" t="s">
        <v>5475</v>
      </c>
      <c r="S2413" s="11"/>
      <c r="T2413" s="11"/>
      <c r="U2413" s="10" t="str">
        <f>HYPERLINK("https://pbs.twimg.com/profile_images/1063708174971281409/aKCozuNy.jpg","View")</f>
        <v>View</v>
      </c>
    </row>
    <row r="2414" spans="1:21" ht="40.799999999999997">
      <c r="A2414" s="6">
        <v>43424.223379629635</v>
      </c>
      <c r="B2414" s="7" t="str">
        <f>HYPERLINK("https://twitter.com/Bilbaina27","@Bilbaina27")</f>
        <v>@Bilbaina27</v>
      </c>
      <c r="C2414" s="8" t="s">
        <v>5478</v>
      </c>
      <c r="D2414" s="9" t="s">
        <v>5479</v>
      </c>
      <c r="E2414" s="10" t="str">
        <f>HYPERLINK("https://twitter.com/Bilbaina27/status/1064871400341757955","1064871400341757955")</f>
        <v>1064871400341757955</v>
      </c>
      <c r="F2414" s="11"/>
      <c r="G2414" s="14" t="s">
        <v>5481</v>
      </c>
      <c r="H2414" s="11"/>
      <c r="I2414" s="12">
        <v>135</v>
      </c>
      <c r="J2414" s="12">
        <v>95</v>
      </c>
      <c r="K2414" s="13" t="str">
        <f t="shared" si="499"/>
        <v>Twitter for Android</v>
      </c>
      <c r="L2414" s="12">
        <v>5265</v>
      </c>
      <c r="M2414" s="12">
        <v>3109</v>
      </c>
      <c r="N2414" s="12">
        <v>19</v>
      </c>
      <c r="O2414" s="15"/>
      <c r="P2414" s="6">
        <v>43307.43037037037</v>
      </c>
      <c r="Q2414" s="16" t="s">
        <v>5034</v>
      </c>
      <c r="R2414" s="17" t="s">
        <v>5482</v>
      </c>
      <c r="S2414" s="11"/>
      <c r="T2414" s="11"/>
      <c r="U2414" s="10" t="str">
        <f>HYPERLINK("https://pbs.twimg.com/profile_images/1025038420266115072/yAADmc1o.jpg","View")</f>
        <v>View</v>
      </c>
    </row>
    <row r="2415" spans="1:21" ht="40.799999999999997">
      <c r="A2415" s="6">
        <v>43424.221875000003</v>
      </c>
      <c r="B2415" s="7" t="str">
        <f>HYPERLINK("https://twitter.com/ElMundoEspana","@ElMundoEspana")</f>
        <v>@ElMundoEspana</v>
      </c>
      <c r="C2415" s="8" t="s">
        <v>8445</v>
      </c>
      <c r="D2415" s="9" t="s">
        <v>7831</v>
      </c>
      <c r="E2415" s="10" t="str">
        <f>HYPERLINK("https://twitter.com/ElMundoEspana/status/1064870853727408129","1064870853727408129")</f>
        <v>1064870853727408129</v>
      </c>
      <c r="F2415" s="14" t="s">
        <v>2122</v>
      </c>
      <c r="G2415" s="11"/>
      <c r="H2415" s="11"/>
      <c r="I2415" s="12">
        <v>1</v>
      </c>
      <c r="J2415" s="12">
        <v>0</v>
      </c>
      <c r="K2415" s="13" t="str">
        <f t="shared" ref="K2415:K2418" si="500">HYPERLINK("http://twitter.com","Twitter Web Client")</f>
        <v>Twitter Web Client</v>
      </c>
      <c r="L2415" s="12">
        <v>17967</v>
      </c>
      <c r="M2415" s="12">
        <v>654</v>
      </c>
      <c r="N2415" s="12">
        <v>350</v>
      </c>
      <c r="O2415" s="18" t="s">
        <v>52</v>
      </c>
      <c r="P2415" s="6">
        <v>42089.082106481481</v>
      </c>
      <c r="Q2415" s="11"/>
      <c r="R2415" s="17" t="s">
        <v>8446</v>
      </c>
      <c r="S2415" s="14" t="s">
        <v>8447</v>
      </c>
      <c r="T2415" s="11"/>
      <c r="U2415" s="10" t="str">
        <f>HYPERLINK("https://pbs.twimg.com/profile_images/780431237555032064/H6v83dkC.jpg","View")</f>
        <v>View</v>
      </c>
    </row>
    <row r="2416" spans="1:21" ht="40.799999999999997">
      <c r="A2416" s="6">
        <v>43424.221284722225</v>
      </c>
      <c r="B2416" s="7" t="str">
        <f>HYPERLINK("https://twitter.com/BarrufetFet","@BarrufetFet")</f>
        <v>@BarrufetFet</v>
      </c>
      <c r="C2416" s="8" t="s">
        <v>8448</v>
      </c>
      <c r="D2416" s="9" t="s">
        <v>8449</v>
      </c>
      <c r="E2416" s="10" t="str">
        <f>HYPERLINK("https://twitter.com/BarrufetFet/status/1064870640912687105","1064870640912687105")</f>
        <v>1064870640912687105</v>
      </c>
      <c r="F2416" s="11"/>
      <c r="G2416" s="11"/>
      <c r="H2416" s="11"/>
      <c r="I2416" s="12">
        <v>0</v>
      </c>
      <c r="J2416" s="12">
        <v>1</v>
      </c>
      <c r="K2416" s="13" t="str">
        <f t="shared" si="500"/>
        <v>Twitter Web Client</v>
      </c>
      <c r="L2416" s="12">
        <v>269</v>
      </c>
      <c r="M2416" s="12">
        <v>441</v>
      </c>
      <c r="N2416" s="12">
        <v>2</v>
      </c>
      <c r="O2416" s="15"/>
      <c r="P2416" s="6">
        <v>42441.531747685185</v>
      </c>
      <c r="Q2416" s="11"/>
      <c r="R2416" s="17" t="s">
        <v>8450</v>
      </c>
      <c r="S2416" s="11"/>
      <c r="T2416" s="11"/>
      <c r="U2416" s="10" t="str">
        <f>HYPERLINK("https://pbs.twimg.com/profile_images/915295817342349312/MJrmTzrD.jpg","View")</f>
        <v>View</v>
      </c>
    </row>
    <row r="2417" spans="1:21" ht="20.399999999999999">
      <c r="A2417" s="6">
        <v>43424.220682870371</v>
      </c>
      <c r="B2417" s="7" t="str">
        <f>HYPERLINK("https://twitter.com/NataC40","@NataC40")</f>
        <v>@NataC40</v>
      </c>
      <c r="C2417" s="8" t="s">
        <v>8451</v>
      </c>
      <c r="D2417" s="9" t="s">
        <v>8452</v>
      </c>
      <c r="E2417" s="10" t="str">
        <f>HYPERLINK("https://twitter.com/NataC40/status/1064870422779494400","1064870422779494400")</f>
        <v>1064870422779494400</v>
      </c>
      <c r="F2417" s="14" t="s">
        <v>8453</v>
      </c>
      <c r="G2417" s="11"/>
      <c r="H2417" s="11"/>
      <c r="I2417" s="12">
        <v>0</v>
      </c>
      <c r="J2417" s="12">
        <v>0</v>
      </c>
      <c r="K2417" s="13" t="str">
        <f t="shared" si="500"/>
        <v>Twitter Web Client</v>
      </c>
      <c r="L2417" s="12">
        <v>857</v>
      </c>
      <c r="M2417" s="12">
        <v>1286</v>
      </c>
      <c r="N2417" s="12">
        <v>30</v>
      </c>
      <c r="O2417" s="15"/>
      <c r="P2417" s="6">
        <v>40752.539143518516</v>
      </c>
      <c r="Q2417" s="16" t="s">
        <v>38</v>
      </c>
      <c r="R2417" s="19"/>
      <c r="S2417" s="14" t="s">
        <v>8454</v>
      </c>
      <c r="T2417" s="11"/>
      <c r="U2417" s="10" t="str">
        <f>HYPERLINK("https://pbs.twimg.com/profile_images/1651129221/19540_1269559713426_1662840659_641834_5949201_n.jpg","View")</f>
        <v>View</v>
      </c>
    </row>
    <row r="2418" spans="1:21" ht="51">
      <c r="A2418" s="6">
        <v>43424.218263888892</v>
      </c>
      <c r="B2418" s="7" t="str">
        <f>HYPERLINK("https://twitter.com/EOtxoa","@EOtxoa")</f>
        <v>@EOtxoa</v>
      </c>
      <c r="C2418" s="8" t="s">
        <v>5484</v>
      </c>
      <c r="D2418" s="9" t="s">
        <v>5485</v>
      </c>
      <c r="E2418" s="10" t="str">
        <f>HYPERLINK("https://twitter.com/EOtxoa/status/1064869545867907072","1064869545867907072")</f>
        <v>1064869545867907072</v>
      </c>
      <c r="F2418" s="14" t="s">
        <v>5486</v>
      </c>
      <c r="G2418" s="11"/>
      <c r="H2418" s="11"/>
      <c r="I2418" s="12">
        <v>0</v>
      </c>
      <c r="J2418" s="12">
        <v>0</v>
      </c>
      <c r="K2418" s="13" t="str">
        <f t="shared" si="500"/>
        <v>Twitter Web Client</v>
      </c>
      <c r="L2418" s="12">
        <v>58</v>
      </c>
      <c r="M2418" s="12">
        <v>148</v>
      </c>
      <c r="N2418" s="12">
        <v>1</v>
      </c>
      <c r="O2418" s="15"/>
      <c r="P2418" s="6">
        <v>40680.513819444444</v>
      </c>
      <c r="Q2418" s="16" t="s">
        <v>5489</v>
      </c>
      <c r="R2418" s="17" t="s">
        <v>5490</v>
      </c>
      <c r="S2418" s="11"/>
      <c r="T2418" s="11"/>
      <c r="U2418" s="10" t="str">
        <f>HYPERLINK("https://pbs.twimg.com/profile_images/1402829850/IMG_0852_p.JPG","View")</f>
        <v>View</v>
      </c>
    </row>
    <row r="2419" spans="1:21" ht="51">
      <c r="A2419" s="6">
        <v>43424.218032407407</v>
      </c>
      <c r="B2419" s="7" t="str">
        <f>HYPERLINK("https://twitter.com/pepito_garca","@pepito_garca")</f>
        <v>@pepito_garca</v>
      </c>
      <c r="C2419" s="8" t="s">
        <v>8455</v>
      </c>
      <c r="D2419" s="9" t="s">
        <v>8187</v>
      </c>
      <c r="E2419" s="10" t="str">
        <f>HYPERLINK("https://twitter.com/pepito_garca/status/1064869459054272513","1064869459054272513")</f>
        <v>1064869459054272513</v>
      </c>
      <c r="F2419" s="11"/>
      <c r="G2419" s="11"/>
      <c r="H2419" s="11"/>
      <c r="I2419" s="12">
        <v>2850</v>
      </c>
      <c r="J2419" s="12">
        <v>4478</v>
      </c>
      <c r="K2419" s="13" t="str">
        <f>HYPERLINK("http://twitter.com/download/iphone","Twitter for iPhone")</f>
        <v>Twitter for iPhone</v>
      </c>
      <c r="L2419" s="12">
        <v>5690</v>
      </c>
      <c r="M2419" s="12">
        <v>1888</v>
      </c>
      <c r="N2419" s="12">
        <v>92</v>
      </c>
      <c r="O2419" s="15"/>
      <c r="P2419" s="6">
        <v>41180.588576388887</v>
      </c>
      <c r="Q2419" s="16" t="s">
        <v>8456</v>
      </c>
      <c r="R2419" s="17" t="s">
        <v>8457</v>
      </c>
      <c r="S2419" s="11"/>
      <c r="T2419" s="11"/>
      <c r="U2419" s="10" t="str">
        <f>HYPERLINK("https://pbs.twimg.com/profile_images/378800000374069898/2394e9f16ede66ef45c832ff2db9d406.jpeg","View")</f>
        <v>View</v>
      </c>
    </row>
    <row r="2420" spans="1:21" ht="20.399999999999999">
      <c r="A2420" s="6">
        <v>43424.217766203699</v>
      </c>
      <c r="B2420" s="7" t="str">
        <f>HYPERLINK("https://twitter.com/adelacafe93","@adelacafe93")</f>
        <v>@adelacafe93</v>
      </c>
      <c r="C2420" s="8" t="s">
        <v>7100</v>
      </c>
      <c r="D2420" s="9" t="s">
        <v>7831</v>
      </c>
      <c r="E2420" s="10" t="str">
        <f>HYPERLINK("https://twitter.com/adelacafe93/status/1064869363340201986","1064869363340201986")</f>
        <v>1064869363340201986</v>
      </c>
      <c r="F2420" s="14" t="s">
        <v>8458</v>
      </c>
      <c r="G2420" s="11"/>
      <c r="H2420" s="11"/>
      <c r="I2420" s="12">
        <v>0</v>
      </c>
      <c r="J2420" s="12">
        <v>0</v>
      </c>
      <c r="K2420" s="13" t="str">
        <f t="shared" ref="K2420:K2421" si="501">HYPERLINK("https://ifttt.com","IFTTT")</f>
        <v>IFTTT</v>
      </c>
      <c r="L2420" s="12">
        <v>18</v>
      </c>
      <c r="M2420" s="12">
        <v>47</v>
      </c>
      <c r="N2420" s="12">
        <v>0</v>
      </c>
      <c r="O2420" s="15"/>
      <c r="P2420" s="6">
        <v>42761.240034722221</v>
      </c>
      <c r="Q2420" s="16" t="s">
        <v>7102</v>
      </c>
      <c r="R2420" s="17" t="s">
        <v>7103</v>
      </c>
      <c r="S2420" s="11"/>
      <c r="T2420" s="11"/>
      <c r="U2420" s="10" t="str">
        <f>HYPERLINK("https://pbs.twimg.com/profile_images/824614694078013444/fkDV_Y0Z.jpg","View")</f>
        <v>View</v>
      </c>
    </row>
    <row r="2421" spans="1:21" ht="20.399999999999999">
      <c r="A2421" s="6">
        <v>43424.217685185184</v>
      </c>
      <c r="B2421" s="7" t="str">
        <f>HYPERLINK("https://twitter.com/titulares24hora","@titulares24hora")</f>
        <v>@titulares24hora</v>
      </c>
      <c r="C2421" s="8" t="s">
        <v>7107</v>
      </c>
      <c r="D2421" s="9" t="s">
        <v>7831</v>
      </c>
      <c r="E2421" s="10" t="str">
        <f>HYPERLINK("https://twitter.com/titulares24hora/status/1064869334768648192","1064869334768648192")</f>
        <v>1064869334768648192</v>
      </c>
      <c r="F2421" s="11"/>
      <c r="G2421" s="11"/>
      <c r="H2421" s="11"/>
      <c r="I2421" s="12">
        <v>0</v>
      </c>
      <c r="J2421" s="12">
        <v>0</v>
      </c>
      <c r="K2421" s="13" t="str">
        <f t="shared" si="501"/>
        <v>IFTTT</v>
      </c>
      <c r="L2421" s="12">
        <v>394</v>
      </c>
      <c r="M2421" s="12">
        <v>1463</v>
      </c>
      <c r="N2421" s="12">
        <v>2</v>
      </c>
      <c r="O2421" s="15"/>
      <c r="P2421" s="6">
        <v>42508.071805555555</v>
      </c>
      <c r="Q2421" s="11"/>
      <c r="R2421" s="17" t="s">
        <v>7109</v>
      </c>
      <c r="S2421" s="11"/>
      <c r="T2421" s="11"/>
      <c r="U2421" s="10" t="str">
        <f>HYPERLINK("https://pbs.twimg.com/profile_images/732855169034166272/A8O2LY2J.jpg","View")</f>
        <v>View</v>
      </c>
    </row>
    <row r="2422" spans="1:21" ht="30.6">
      <c r="A2422" s="6">
        <v>43424.217650462961</v>
      </c>
      <c r="B2422" s="7" t="str">
        <f>HYPERLINK("https://twitter.com/AmosNoticia","@AmosNoticia")</f>
        <v>@AmosNoticia</v>
      </c>
      <c r="C2422" s="8" t="s">
        <v>8459</v>
      </c>
      <c r="D2422" s="9" t="s">
        <v>8460</v>
      </c>
      <c r="E2422" s="10" t="str">
        <f>HYPERLINK("https://twitter.com/AmosNoticia/status/1064869323683127296","1064869323683127296")</f>
        <v>1064869323683127296</v>
      </c>
      <c r="F2422" s="14" t="s">
        <v>8461</v>
      </c>
      <c r="G2422" s="14" t="s">
        <v>8462</v>
      </c>
      <c r="H2422" s="11"/>
      <c r="I2422" s="12">
        <v>1</v>
      </c>
      <c r="J2422" s="12">
        <v>0</v>
      </c>
      <c r="K2422" s="13" t="str">
        <f>HYPERLINK("http://twitter.com/#!/download/ipad","Twitter for iPad")</f>
        <v>Twitter for iPad</v>
      </c>
      <c r="L2422" s="12">
        <v>5</v>
      </c>
      <c r="M2422" s="12">
        <v>10</v>
      </c>
      <c r="N2422" s="12">
        <v>0</v>
      </c>
      <c r="O2422" s="15"/>
      <c r="P2422" s="6">
        <v>43423.398356481484</v>
      </c>
      <c r="Q2422" s="16" t="s">
        <v>8463</v>
      </c>
      <c r="R2422" s="17" t="s">
        <v>8464</v>
      </c>
      <c r="S2422" s="11"/>
      <c r="T2422" s="11"/>
      <c r="U2422" s="10" t="str">
        <f>HYPERLINK("https://pbs.twimg.com/profile_images/1064574801933672448/wWMMBYKR.jpg","View")</f>
        <v>View</v>
      </c>
    </row>
    <row r="2423" spans="1:21" ht="40.799999999999997">
      <c r="A2423" s="6">
        <v>43424.217175925922</v>
      </c>
      <c r="B2423" s="7" t="str">
        <f>HYPERLINK("https://twitter.com/clubdeviernes","@clubdeviernes")</f>
        <v>@clubdeviernes</v>
      </c>
      <c r="C2423" s="8" t="s">
        <v>8465</v>
      </c>
      <c r="D2423" s="9" t="s">
        <v>8466</v>
      </c>
      <c r="E2423" s="10" t="str">
        <f>HYPERLINK("https://twitter.com/clubdeviernes/status/1064869149229371392","1064869149229371392")</f>
        <v>1064869149229371392</v>
      </c>
      <c r="F2423" s="14" t="s">
        <v>1751</v>
      </c>
      <c r="G2423" s="11"/>
      <c r="H2423" s="11"/>
      <c r="I2423" s="12">
        <v>17</v>
      </c>
      <c r="J2423" s="12">
        <v>17</v>
      </c>
      <c r="K2423" s="13" t="str">
        <f>HYPERLINK("http://twitter.com/download/android","Twitter for Android")</f>
        <v>Twitter for Android</v>
      </c>
      <c r="L2423" s="12">
        <v>53475</v>
      </c>
      <c r="M2423" s="12">
        <v>11368</v>
      </c>
      <c r="N2423" s="12">
        <v>574</v>
      </c>
      <c r="O2423" s="18" t="s">
        <v>52</v>
      </c>
      <c r="P2423" s="6">
        <v>42001.331365740742</v>
      </c>
      <c r="Q2423" s="16" t="s">
        <v>28</v>
      </c>
      <c r="R2423" s="17" t="s">
        <v>8467</v>
      </c>
      <c r="S2423" s="14" t="s">
        <v>8468</v>
      </c>
      <c r="T2423" s="11"/>
      <c r="U2423" s="10" t="str">
        <f>HYPERLINK("https://pbs.twimg.com/profile_images/1050461122363609088/CI9sSBYY.jpg","View")</f>
        <v>View</v>
      </c>
    </row>
    <row r="2424" spans="1:21" ht="51">
      <c r="A2424" s="6">
        <v>43424.216666666667</v>
      </c>
      <c r="B2424" s="7" t="str">
        <f>HYPERLINK("https://twitter.com/ahorapodemos","@ahorapodemos")</f>
        <v>@ahorapodemos</v>
      </c>
      <c r="C2424" s="8" t="s">
        <v>48</v>
      </c>
      <c r="D2424" s="9" t="s">
        <v>5493</v>
      </c>
      <c r="E2424" s="10" t="str">
        <f>HYPERLINK("https://twitter.com/ahorapodemos/status/1064868965531377664","1064868965531377664")</f>
        <v>1064868965531377664</v>
      </c>
      <c r="F2424" s="11"/>
      <c r="G2424" s="14" t="s">
        <v>5494</v>
      </c>
      <c r="H2424" s="11"/>
      <c r="I2424" s="12">
        <v>229</v>
      </c>
      <c r="J2424" s="12">
        <v>288</v>
      </c>
      <c r="K2424" s="13" t="str">
        <f>HYPERLINK("https://studio.twitter.com","Media Studio")</f>
        <v>Media Studio</v>
      </c>
      <c r="L2424" s="12">
        <v>1338987</v>
      </c>
      <c r="M2424" s="12">
        <v>1529</v>
      </c>
      <c r="N2424" s="12">
        <v>5654</v>
      </c>
      <c r="O2424" s="18" t="s">
        <v>52</v>
      </c>
      <c r="P2424" s="6">
        <v>41651.201979166668</v>
      </c>
      <c r="Q2424" s="16" t="s">
        <v>54</v>
      </c>
      <c r="R2424" s="17" t="s">
        <v>56</v>
      </c>
      <c r="S2424" s="14" t="s">
        <v>58</v>
      </c>
      <c r="T2424" s="11"/>
      <c r="U2424" s="10" t="str">
        <f>HYPERLINK("https://pbs.twimg.com/profile_images/1036536413548892160/J0K-j7cz.jpg","View")</f>
        <v>View</v>
      </c>
    </row>
    <row r="2425" spans="1:21" ht="30.6">
      <c r="A2425" s="6">
        <v>43424.215601851851</v>
      </c>
      <c r="B2425" s="7" t="str">
        <f>HYPERLINK("https://twitter.com/Tons35","@Tons35")</f>
        <v>@Tons35</v>
      </c>
      <c r="C2425" s="8" t="s">
        <v>8469</v>
      </c>
      <c r="D2425" s="9" t="s">
        <v>8452</v>
      </c>
      <c r="E2425" s="10" t="str">
        <f>HYPERLINK("https://twitter.com/Tons35/status/1064868579475161088","1064868579475161088")</f>
        <v>1064868579475161088</v>
      </c>
      <c r="F2425" s="14" t="s">
        <v>8453</v>
      </c>
      <c r="G2425" s="11"/>
      <c r="H2425" s="11"/>
      <c r="I2425" s="12">
        <v>0</v>
      </c>
      <c r="J2425" s="12">
        <v>0</v>
      </c>
      <c r="K2425" s="13" t="str">
        <f>HYPERLINK("http://twitter.com","Twitter Web Client")</f>
        <v>Twitter Web Client</v>
      </c>
      <c r="L2425" s="12">
        <v>48</v>
      </c>
      <c r="M2425" s="12">
        <v>180</v>
      </c>
      <c r="N2425" s="12">
        <v>1</v>
      </c>
      <c r="O2425" s="15"/>
      <c r="P2425" s="6">
        <v>41312.071967592594</v>
      </c>
      <c r="Q2425" s="11"/>
      <c r="R2425" s="17" t="s">
        <v>8470</v>
      </c>
      <c r="S2425" s="11"/>
      <c r="T2425" s="11"/>
      <c r="U2425" s="10" t="str">
        <f>HYPERLINK("https://pbs.twimg.com/profile_images/1065204217172946944/58vqDdDy.jpg","View")</f>
        <v>View</v>
      </c>
    </row>
    <row r="2426" spans="1:21" ht="40.799999999999997">
      <c r="A2426" s="6">
        <v>43424.213726851856</v>
      </c>
      <c r="B2426" s="7" t="str">
        <f>HYPERLINK("https://twitter.com/pepito_garca","@pepito_garca")</f>
        <v>@pepito_garca</v>
      </c>
      <c r="C2426" s="8" t="s">
        <v>8455</v>
      </c>
      <c r="D2426" s="9" t="s">
        <v>8471</v>
      </c>
      <c r="E2426" s="10" t="str">
        <f>HYPERLINK("https://twitter.com/pepito_garca/status/1064867900039798784","1064867900039798784")</f>
        <v>1064867900039798784</v>
      </c>
      <c r="F2426" s="11"/>
      <c r="G2426" s="11"/>
      <c r="H2426" s="11"/>
      <c r="I2426" s="12">
        <v>263</v>
      </c>
      <c r="J2426" s="12">
        <v>551</v>
      </c>
      <c r="K2426" s="13" t="str">
        <f>HYPERLINK("http://twitter.com/download/iphone","Twitter for iPhone")</f>
        <v>Twitter for iPhone</v>
      </c>
      <c r="L2426" s="12">
        <v>5690</v>
      </c>
      <c r="M2426" s="12">
        <v>1888</v>
      </c>
      <c r="N2426" s="12">
        <v>92</v>
      </c>
      <c r="O2426" s="15"/>
      <c r="P2426" s="6">
        <v>41180.588576388887</v>
      </c>
      <c r="Q2426" s="16" t="s">
        <v>8456</v>
      </c>
      <c r="R2426" s="17" t="s">
        <v>8457</v>
      </c>
      <c r="S2426" s="11"/>
      <c r="T2426" s="11"/>
      <c r="U2426" s="10" t="str">
        <f>HYPERLINK("https://pbs.twimg.com/profile_images/378800000374069898/2394e9f16ede66ef45c832ff2db9d406.jpeg","View")</f>
        <v>View</v>
      </c>
    </row>
    <row r="2427" spans="1:21" ht="61.2">
      <c r="A2427" s="6">
        <v>43424.212905092594</v>
      </c>
      <c r="B2427" s="7" t="str">
        <f>HYPERLINK("https://twitter.com/aqmarropa","@aqmarropa")</f>
        <v>@aqmarropa</v>
      </c>
      <c r="C2427" s="8" t="s">
        <v>8472</v>
      </c>
      <c r="D2427" s="9" t="s">
        <v>8473</v>
      </c>
      <c r="E2427" s="10" t="str">
        <f>HYPERLINK("https://twitter.com/aqmarropa/status/1064867601837371392","1064867601837371392")</f>
        <v>1064867601837371392</v>
      </c>
      <c r="F2427" s="16" t="s">
        <v>8474</v>
      </c>
      <c r="G2427" s="11"/>
      <c r="H2427" s="11"/>
      <c r="I2427" s="12">
        <v>0</v>
      </c>
      <c r="J2427" s="12">
        <v>0</v>
      </c>
      <c r="K2427" s="13" t="str">
        <f>HYPERLINK("http://twitter.com","Twitter Web Client")</f>
        <v>Twitter Web Client</v>
      </c>
      <c r="L2427" s="12">
        <v>708</v>
      </c>
      <c r="M2427" s="12">
        <v>1539</v>
      </c>
      <c r="N2427" s="12">
        <v>17</v>
      </c>
      <c r="O2427" s="15"/>
      <c r="P2427" s="6">
        <v>41210.292685185181</v>
      </c>
      <c r="Q2427" s="11"/>
      <c r="R2427" s="17" t="s">
        <v>8475</v>
      </c>
      <c r="S2427" s="11"/>
      <c r="T2427" s="11"/>
      <c r="U2427" s="10" t="str">
        <f>HYPERLINK("https://pbs.twimg.com/profile_images/1034555865796431872/Csw8oE4U.jpg","View")</f>
        <v>View</v>
      </c>
    </row>
    <row r="2428" spans="1:21" ht="51">
      <c r="A2428" s="6">
        <v>43424.210659722223</v>
      </c>
      <c r="B2428" s="7" t="str">
        <f>HYPERLINK("https://twitter.com/PodemosParla2Tw","@PodemosParla2Tw")</f>
        <v>@PodemosParla2Tw</v>
      </c>
      <c r="C2428" s="8" t="s">
        <v>2819</v>
      </c>
      <c r="D2428" s="9" t="s">
        <v>5497</v>
      </c>
      <c r="E2428" s="10" t="str">
        <f>HYPERLINK("https://twitter.com/PodemosParla2Tw/status/1064866791288160258","1064866791288160258")</f>
        <v>1064866791288160258</v>
      </c>
      <c r="F2428" s="11"/>
      <c r="G2428" s="14" t="s">
        <v>5498</v>
      </c>
      <c r="H2428" s="11"/>
      <c r="I2428" s="12">
        <v>0</v>
      </c>
      <c r="J2428" s="12">
        <v>1</v>
      </c>
      <c r="K2428" s="13" t="str">
        <f>HYPERLINK("https://buffer.com","Buffer")</f>
        <v>Buffer</v>
      </c>
      <c r="L2428" s="12">
        <v>868</v>
      </c>
      <c r="M2428" s="12">
        <v>1068</v>
      </c>
      <c r="N2428" s="12">
        <v>12</v>
      </c>
      <c r="O2428" s="15"/>
      <c r="P2428" s="6">
        <v>42311.518020833333</v>
      </c>
      <c r="Q2428" s="16" t="s">
        <v>2825</v>
      </c>
      <c r="R2428" s="17" t="s">
        <v>2826</v>
      </c>
      <c r="S2428" s="14" t="s">
        <v>2489</v>
      </c>
      <c r="T2428" s="11"/>
      <c r="U2428" s="10" t="str">
        <f>HYPERLINK("https://pbs.twimg.com/profile_images/1012456597115850752/7fJqeRBF.jpg","View")</f>
        <v>View</v>
      </c>
    </row>
    <row r="2429" spans="1:21" ht="51">
      <c r="A2429" s="6">
        <v>43424.210601851853</v>
      </c>
      <c r="B2429" s="7" t="str">
        <f>HYPERLINK("https://twitter.com/ahorapodemos","@ahorapodemos")</f>
        <v>@ahorapodemos</v>
      </c>
      <c r="C2429" s="8" t="s">
        <v>48</v>
      </c>
      <c r="D2429" s="9" t="s">
        <v>5501</v>
      </c>
      <c r="E2429" s="10" t="str">
        <f>HYPERLINK("https://twitter.com/ahorapodemos/status/1064866766743134208","1064866766743134208")</f>
        <v>1064866766743134208</v>
      </c>
      <c r="F2429" s="11"/>
      <c r="G2429" s="14" t="s">
        <v>5502</v>
      </c>
      <c r="H2429" s="11"/>
      <c r="I2429" s="12">
        <v>100</v>
      </c>
      <c r="J2429" s="12">
        <v>151</v>
      </c>
      <c r="K2429" s="13" t="str">
        <f>HYPERLINK("https://studio.twitter.com","Media Studio")</f>
        <v>Media Studio</v>
      </c>
      <c r="L2429" s="12">
        <v>1338987</v>
      </c>
      <c r="M2429" s="12">
        <v>1529</v>
      </c>
      <c r="N2429" s="12">
        <v>5654</v>
      </c>
      <c r="O2429" s="18" t="s">
        <v>52</v>
      </c>
      <c r="P2429" s="6">
        <v>41651.201979166668</v>
      </c>
      <c r="Q2429" s="16" t="s">
        <v>54</v>
      </c>
      <c r="R2429" s="17" t="s">
        <v>56</v>
      </c>
      <c r="S2429" s="14" t="s">
        <v>58</v>
      </c>
      <c r="T2429" s="11"/>
      <c r="U2429" s="10" t="str">
        <f>HYPERLINK("https://pbs.twimg.com/profile_images/1036536413548892160/J0K-j7cz.jpg","View")</f>
        <v>View</v>
      </c>
    </row>
    <row r="2430" spans="1:21" ht="61.2">
      <c r="A2430" s="6">
        <v>43424.209780092591</v>
      </c>
      <c r="B2430" s="7" t="str">
        <f>HYPERLINK("https://twitter.com/PodemosToledo","@PodemosToledo")</f>
        <v>@PodemosToledo</v>
      </c>
      <c r="C2430" s="8" t="s">
        <v>5503</v>
      </c>
      <c r="D2430" s="9" t="s">
        <v>5504</v>
      </c>
      <c r="E2430" s="10" t="str">
        <f>HYPERLINK("https://twitter.com/PodemosToledo/status/1064866472172892161","1064866472172892161")</f>
        <v>1064866472172892161</v>
      </c>
      <c r="F2430" s="11"/>
      <c r="G2430" s="14" t="s">
        <v>5506</v>
      </c>
      <c r="H2430" s="11"/>
      <c r="I2430" s="12">
        <v>32</v>
      </c>
      <c r="J2430" s="12">
        <v>50</v>
      </c>
      <c r="K2430" s="13" t="str">
        <f t="shared" ref="K2430:K2431" si="502">HYPERLINK("http://twitter.com/download/android","Twitter for Android")</f>
        <v>Twitter for Android</v>
      </c>
      <c r="L2430" s="12">
        <v>4975</v>
      </c>
      <c r="M2430" s="12">
        <v>1167</v>
      </c>
      <c r="N2430" s="12">
        <v>81</v>
      </c>
      <c r="O2430" s="15"/>
      <c r="P2430" s="6">
        <v>41676.70585648148</v>
      </c>
      <c r="Q2430" s="16" t="s">
        <v>53</v>
      </c>
      <c r="R2430" s="17" t="s">
        <v>5508</v>
      </c>
      <c r="S2430" s="14" t="s">
        <v>5509</v>
      </c>
      <c r="T2430" s="11"/>
      <c r="U2430" s="10" t="str">
        <f>HYPERLINK("https://pbs.twimg.com/profile_images/1016390251928014848/cpMDVtzC.jpg","View")</f>
        <v>View</v>
      </c>
    </row>
    <row r="2431" spans="1:21" ht="112.2">
      <c r="A2431" s="6">
        <v>43424.209560185191</v>
      </c>
      <c r="B2431" s="7" t="str">
        <f>HYPERLINK("https://twitter.com/MSPE_Andalucia","@MSPE_Andalucia")</f>
        <v>@MSPE_Andalucia</v>
      </c>
      <c r="C2431" s="8" t="s">
        <v>4369</v>
      </c>
      <c r="D2431" s="9" t="s">
        <v>5510</v>
      </c>
      <c r="E2431" s="10" t="str">
        <f>HYPERLINK("https://twitter.com/MSPE_Andalucia/status/1064866390530842624","1064866390530842624")</f>
        <v>1064866390530842624</v>
      </c>
      <c r="F2431" s="14" t="s">
        <v>5513</v>
      </c>
      <c r="G2431" s="14" t="s">
        <v>5514</v>
      </c>
      <c r="H2431" s="11"/>
      <c r="I2431" s="12">
        <v>0</v>
      </c>
      <c r="J2431" s="12">
        <v>2</v>
      </c>
      <c r="K2431" s="13" t="str">
        <f t="shared" si="502"/>
        <v>Twitter for Android</v>
      </c>
      <c r="L2431" s="12">
        <v>136</v>
      </c>
      <c r="M2431" s="12">
        <v>113</v>
      </c>
      <c r="N2431" s="12">
        <v>0</v>
      </c>
      <c r="O2431" s="15"/>
      <c r="P2431" s="6">
        <v>43280.015393518523</v>
      </c>
      <c r="Q2431" s="11"/>
      <c r="R2431" s="17" t="s">
        <v>4374</v>
      </c>
      <c r="S2431" s="11"/>
      <c r="T2431" s="11"/>
      <c r="U2431" s="10" t="str">
        <f>HYPERLINK("https://pbs.twimg.com/profile_images/1012598019978616832/OlAJNRNM.jpg","View")</f>
        <v>View</v>
      </c>
    </row>
    <row r="2432" spans="1:21" ht="30.6">
      <c r="A2432" s="6">
        <v>43424.209490740745</v>
      </c>
      <c r="B2432" s="7" t="str">
        <f>HYPERLINK("https://twitter.com/vozdeltajo","@vozdeltajo")</f>
        <v>@vozdeltajo</v>
      </c>
      <c r="C2432" s="8" t="s">
        <v>8476</v>
      </c>
      <c r="D2432" s="9" t="s">
        <v>8477</v>
      </c>
      <c r="E2432" s="10" t="str">
        <f>HYPERLINK("https://twitter.com/vozdeltajo/status/1064866363632701440","1064866363632701440")</f>
        <v>1064866363632701440</v>
      </c>
      <c r="F2432" s="14" t="s">
        <v>8478</v>
      </c>
      <c r="G2432" s="14" t="s">
        <v>8479</v>
      </c>
      <c r="H2432" s="11"/>
      <c r="I2432" s="12">
        <v>3</v>
      </c>
      <c r="J2432" s="12">
        <v>8</v>
      </c>
      <c r="K2432" s="13" t="str">
        <f>HYPERLINK("http://twitter.com","Twitter Web Client")</f>
        <v>Twitter Web Client</v>
      </c>
      <c r="L2432" s="12">
        <v>7888</v>
      </c>
      <c r="M2432" s="12">
        <v>1128</v>
      </c>
      <c r="N2432" s="12">
        <v>91</v>
      </c>
      <c r="O2432" s="15"/>
      <c r="P2432" s="6">
        <v>40849.175127314811</v>
      </c>
      <c r="Q2432" s="16" t="s">
        <v>8480</v>
      </c>
      <c r="R2432" s="17" t="s">
        <v>8481</v>
      </c>
      <c r="S2432" s="14" t="s">
        <v>8482</v>
      </c>
      <c r="T2432" s="11"/>
      <c r="U2432" s="10" t="str">
        <f>HYPERLINK("https://pbs.twimg.com/profile_images/950282973395521536/N23-AZDU.jpg","View")</f>
        <v>View</v>
      </c>
    </row>
    <row r="2433" spans="1:21" ht="61.2">
      <c r="A2433" s="6">
        <v>43424.208738425921</v>
      </c>
      <c r="B2433" s="7" t="str">
        <f>HYPERLINK("https://twitter.com/Portabales_Hijo","@Portabales_Hijo")</f>
        <v>@Portabales_Hijo</v>
      </c>
      <c r="C2433" s="8" t="s">
        <v>5516</v>
      </c>
      <c r="D2433" s="9" t="s">
        <v>5517</v>
      </c>
      <c r="E2433" s="10" t="str">
        <f>HYPERLINK("https://twitter.com/Portabales_Hijo/status/1064866091023908864","1064866091023908864")</f>
        <v>1064866091023908864</v>
      </c>
      <c r="F2433" s="14" t="s">
        <v>5519</v>
      </c>
      <c r="G2433" s="11"/>
      <c r="H2433" s="11"/>
      <c r="I2433" s="12">
        <v>28</v>
      </c>
      <c r="J2433" s="12">
        <v>22</v>
      </c>
      <c r="K2433" s="13" t="str">
        <f t="shared" ref="K2433:K2434" si="503">HYPERLINK("http://twitter.com/download/android","Twitter for Android")</f>
        <v>Twitter for Android</v>
      </c>
      <c r="L2433" s="12">
        <v>23445</v>
      </c>
      <c r="M2433" s="12">
        <v>23485</v>
      </c>
      <c r="N2433" s="12">
        <v>104</v>
      </c>
      <c r="O2433" s="15"/>
      <c r="P2433" s="6">
        <v>40251.608587962961</v>
      </c>
      <c r="Q2433" s="16" t="s">
        <v>5521</v>
      </c>
      <c r="R2433" s="17" t="s">
        <v>5522</v>
      </c>
      <c r="S2433" s="14" t="s">
        <v>5523</v>
      </c>
      <c r="T2433" s="11"/>
      <c r="U2433" s="10" t="str">
        <f>HYPERLINK("https://pbs.twimg.com/profile_images/708291008522493954/OR_M-4v2.jpg","View")</f>
        <v>View</v>
      </c>
    </row>
    <row r="2434" spans="1:21" ht="51">
      <c r="A2434" s="6">
        <v>43424.206296296295</v>
      </c>
      <c r="B2434" s="7" t="str">
        <f>HYPERLINK("https://twitter.com/ManuelRubio2101","@ManuelRubio2101")</f>
        <v>@ManuelRubio2101</v>
      </c>
      <c r="C2434" s="8" t="s">
        <v>3609</v>
      </c>
      <c r="D2434" s="9" t="s">
        <v>5524</v>
      </c>
      <c r="E2434" s="10" t="str">
        <f>HYPERLINK("https://twitter.com/ManuelRubio2101/status/1064865208785608704","1064865208785608704")</f>
        <v>1064865208785608704</v>
      </c>
      <c r="F2434" s="11"/>
      <c r="G2434" s="11"/>
      <c r="H2434" s="11"/>
      <c r="I2434" s="12">
        <v>0</v>
      </c>
      <c r="J2434" s="12">
        <v>0</v>
      </c>
      <c r="K2434" s="13" t="str">
        <f t="shared" si="503"/>
        <v>Twitter for Android</v>
      </c>
      <c r="L2434" s="12">
        <v>1</v>
      </c>
      <c r="M2434" s="12">
        <v>39</v>
      </c>
      <c r="N2434" s="12">
        <v>0</v>
      </c>
      <c r="O2434" s="15"/>
      <c r="P2434" s="6">
        <v>43409.160937499997</v>
      </c>
      <c r="Q2434" s="11"/>
      <c r="R2434" s="17" t="s">
        <v>5525</v>
      </c>
      <c r="S2434" s="11"/>
      <c r="T2434" s="11"/>
      <c r="U2434" s="10" t="str">
        <f>HYPERLINK("https://pbs.twimg.com/profile_images/1059498090317651969/0Brb0E5n.jpg","View")</f>
        <v>View</v>
      </c>
    </row>
    <row r="2435" spans="1:21" ht="51">
      <c r="A2435" s="6">
        <v>43424.205150462964</v>
      </c>
      <c r="B2435" s="7" t="str">
        <f>HYPERLINK("https://twitter.com/gabricax","@gabricax")</f>
        <v>@gabricax</v>
      </c>
      <c r="C2435" s="8" t="s">
        <v>5526</v>
      </c>
      <c r="D2435" s="9" t="s">
        <v>5527</v>
      </c>
      <c r="E2435" s="10" t="str">
        <f>HYPERLINK("https://twitter.com/gabricax/status/1064864793172037632","1064864793172037632")</f>
        <v>1064864793172037632</v>
      </c>
      <c r="F2435" s="11"/>
      <c r="G2435" s="11"/>
      <c r="H2435" s="11"/>
      <c r="I2435" s="12">
        <v>0</v>
      </c>
      <c r="J2435" s="12">
        <v>1</v>
      </c>
      <c r="K2435" s="13" t="str">
        <f>HYPERLINK("http://twitter.com","Twitter Web Client")</f>
        <v>Twitter Web Client</v>
      </c>
      <c r="L2435" s="12">
        <v>2397</v>
      </c>
      <c r="M2435" s="12">
        <v>1805</v>
      </c>
      <c r="N2435" s="12">
        <v>174</v>
      </c>
      <c r="O2435" s="15"/>
      <c r="P2435" s="6">
        <v>40624.50304398148</v>
      </c>
      <c r="Q2435" s="16" t="s">
        <v>38</v>
      </c>
      <c r="R2435" s="17" t="s">
        <v>5528</v>
      </c>
      <c r="S2435" s="11"/>
      <c r="T2435" s="11"/>
      <c r="U2435" s="10" t="str">
        <f>HYPERLINK("https://pbs.twimg.com/profile_images/1053942833063907328/TN13XmZ_.jpg","View")</f>
        <v>View</v>
      </c>
    </row>
    <row r="2436" spans="1:21" ht="51">
      <c r="A2436" s="6">
        <v>43424.205081018517</v>
      </c>
      <c r="B2436" s="7" t="str">
        <f>HYPERLINK("https://twitter.com/CarlosMMira","@CarlosMMira")</f>
        <v>@CarlosMMira</v>
      </c>
      <c r="C2436" s="8" t="s">
        <v>8483</v>
      </c>
      <c r="D2436" s="9" t="s">
        <v>8484</v>
      </c>
      <c r="E2436" s="10" t="str">
        <f>HYPERLINK("https://twitter.com/CarlosMMira/status/1064864768392130561","1064864768392130561")</f>
        <v>1064864768392130561</v>
      </c>
      <c r="F2436" s="11"/>
      <c r="G2436" s="11"/>
      <c r="H2436" s="11"/>
      <c r="I2436" s="12">
        <v>0</v>
      </c>
      <c r="J2436" s="12">
        <v>2</v>
      </c>
      <c r="K2436" s="13" t="str">
        <f>HYPERLINK("http://twitter.com/download/iphone","Twitter for iPhone")</f>
        <v>Twitter for iPhone</v>
      </c>
      <c r="L2436" s="12">
        <v>871</v>
      </c>
      <c r="M2436" s="12">
        <v>702</v>
      </c>
      <c r="N2436" s="12">
        <v>19</v>
      </c>
      <c r="O2436" s="15"/>
      <c r="P2436" s="6">
        <v>40923.502164351856</v>
      </c>
      <c r="Q2436" s="16" t="s">
        <v>8485</v>
      </c>
      <c r="R2436" s="17" t="s">
        <v>8486</v>
      </c>
      <c r="S2436" s="11"/>
      <c r="T2436" s="11"/>
      <c r="U2436" s="10" t="str">
        <f>HYPERLINK("https://pbs.twimg.com/profile_images/1042733029674962944/s_E6ylzr.jpg","View")</f>
        <v>View</v>
      </c>
    </row>
    <row r="2437" spans="1:21" ht="40.799999999999997">
      <c r="A2437" s="6">
        <v>43424.204166666663</v>
      </c>
      <c r="B2437" s="7" t="str">
        <f>HYPERLINK("https://twitter.com/unchinodechina","@unchinodechina")</f>
        <v>@unchinodechina</v>
      </c>
      <c r="C2437" s="8" t="s">
        <v>8487</v>
      </c>
      <c r="D2437" s="9" t="s">
        <v>8488</v>
      </c>
      <c r="E2437" s="10" t="str">
        <f>HYPERLINK("https://twitter.com/unchinodechina/status/1064864434424811525","1064864434424811525")</f>
        <v>1064864434424811525</v>
      </c>
      <c r="F2437" s="11"/>
      <c r="G2437" s="14" t="s">
        <v>8489</v>
      </c>
      <c r="H2437" s="11"/>
      <c r="I2437" s="12">
        <v>69</v>
      </c>
      <c r="J2437" s="12">
        <v>181</v>
      </c>
      <c r="K2437" s="13" t="str">
        <f>HYPERLINK("https://about.twitter.com/products/tweetdeck","TweetDeck")</f>
        <v>TweetDeck</v>
      </c>
      <c r="L2437" s="12">
        <v>37682</v>
      </c>
      <c r="M2437" s="12">
        <v>1029</v>
      </c>
      <c r="N2437" s="12">
        <v>192</v>
      </c>
      <c r="O2437" s="15"/>
      <c r="P2437" s="6">
        <v>42384.470925925925</v>
      </c>
      <c r="Q2437" s="11"/>
      <c r="R2437" s="17" t="s">
        <v>8490</v>
      </c>
      <c r="S2437" s="11"/>
      <c r="T2437" s="11"/>
      <c r="U2437" s="10" t="str">
        <f>HYPERLINK("https://pbs.twimg.com/profile_images/688079078780481537/_eQ8dK2q.jpg","View")</f>
        <v>View</v>
      </c>
    </row>
    <row r="2438" spans="1:21" ht="40.799999999999997">
      <c r="A2438" s="6">
        <v>43424.203819444447</v>
      </c>
      <c r="B2438" s="7" t="str">
        <f>HYPERLINK("https://twitter.com/FdezM","@FdezM")</f>
        <v>@FdezM</v>
      </c>
      <c r="C2438" s="8" t="s">
        <v>5530</v>
      </c>
      <c r="D2438" s="9" t="s">
        <v>5531</v>
      </c>
      <c r="E2438" s="10" t="str">
        <f>HYPERLINK("https://twitter.com/FdezM/status/1064864309031956480","1064864309031956480")</f>
        <v>1064864309031956480</v>
      </c>
      <c r="F2438" s="11"/>
      <c r="G2438" s="11"/>
      <c r="H2438" s="11"/>
      <c r="I2438" s="12">
        <v>1</v>
      </c>
      <c r="J2438" s="12">
        <v>0</v>
      </c>
      <c r="K2438" s="13" t="str">
        <f>HYPERLINK("http://twitter.com/download/iphone","Twitter for iPhone")</f>
        <v>Twitter for iPhone</v>
      </c>
      <c r="L2438" s="12">
        <v>1365</v>
      </c>
      <c r="M2438" s="12">
        <v>1322</v>
      </c>
      <c r="N2438" s="12">
        <v>30</v>
      </c>
      <c r="O2438" s="15"/>
      <c r="P2438" s="6">
        <v>40498.232835648145</v>
      </c>
      <c r="Q2438" s="16" t="s">
        <v>5532</v>
      </c>
      <c r="R2438" s="17" t="s">
        <v>5533</v>
      </c>
      <c r="S2438" s="14" t="s">
        <v>5534</v>
      </c>
      <c r="T2438" s="11"/>
      <c r="U2438" s="10" t="str">
        <f>HYPERLINK("https://pbs.twimg.com/profile_images/1054062242621206530/gMq6A9sp.jpg","View")</f>
        <v>View</v>
      </c>
    </row>
    <row r="2439" spans="1:21" ht="20.399999999999999">
      <c r="A2439" s="6">
        <v>43424.203750000001</v>
      </c>
      <c r="B2439" s="7" t="str">
        <f>HYPERLINK("https://twitter.com/Extremoforo","@Extremoforo")</f>
        <v>@Extremoforo</v>
      </c>
      <c r="C2439" s="8" t="s">
        <v>8491</v>
      </c>
      <c r="D2439" s="9" t="s">
        <v>7649</v>
      </c>
      <c r="E2439" s="10" t="str">
        <f>HYPERLINK("https://twitter.com/Extremoforo/status/1064864287355797504","1064864287355797504")</f>
        <v>1064864287355797504</v>
      </c>
      <c r="F2439" s="14" t="s">
        <v>8163</v>
      </c>
      <c r="G2439" s="11"/>
      <c r="H2439" s="11"/>
      <c r="I2439" s="12">
        <v>0</v>
      </c>
      <c r="J2439" s="12">
        <v>0</v>
      </c>
      <c r="K2439" s="13" t="str">
        <f>HYPERLINK("http://www.facebook.com/twitter","Facebook")</f>
        <v>Facebook</v>
      </c>
      <c r="L2439" s="12">
        <v>212</v>
      </c>
      <c r="M2439" s="12">
        <v>209</v>
      </c>
      <c r="N2439" s="12">
        <v>3</v>
      </c>
      <c r="O2439" s="15"/>
      <c r="P2439" s="6">
        <v>41318.22892361111</v>
      </c>
      <c r="Q2439" s="16" t="s">
        <v>8492</v>
      </c>
      <c r="R2439" s="17" t="s">
        <v>8493</v>
      </c>
      <c r="S2439" s="14" t="s">
        <v>8494</v>
      </c>
      <c r="T2439" s="11"/>
      <c r="U2439" s="10" t="str">
        <f>HYPERLINK("https://pbs.twimg.com/profile_images/978020899315167232/6sI74kvw.jpg","View")</f>
        <v>View</v>
      </c>
    </row>
    <row r="2440" spans="1:21" ht="81.599999999999994">
      <c r="A2440" s="6">
        <v>43424.203009259261</v>
      </c>
      <c r="B2440" s="7" t="str">
        <f>HYPERLINK("https://twitter.com/sepaesbi","@sepaesbi")</f>
        <v>@sepaesbi</v>
      </c>
      <c r="C2440" s="8" t="s">
        <v>163</v>
      </c>
      <c r="D2440" s="9" t="s">
        <v>5535</v>
      </c>
      <c r="E2440" s="10" t="str">
        <f>HYPERLINK("https://twitter.com/sepaesbi/status/1064864018685399040","1064864018685399040")</f>
        <v>1064864018685399040</v>
      </c>
      <c r="F2440" s="16" t="s">
        <v>5536</v>
      </c>
      <c r="G2440" s="11"/>
      <c r="H2440" s="11"/>
      <c r="I2440" s="12">
        <v>1</v>
      </c>
      <c r="J2440" s="12">
        <v>0</v>
      </c>
      <c r="K2440" s="13" t="str">
        <f>HYPERLINK("https://mobile.twitter.com","Twitter Lite")</f>
        <v>Twitter Lite</v>
      </c>
      <c r="L2440" s="12">
        <v>57</v>
      </c>
      <c r="M2440" s="12">
        <v>248</v>
      </c>
      <c r="N2440" s="12">
        <v>1</v>
      </c>
      <c r="O2440" s="15"/>
      <c r="P2440" s="6">
        <v>41724.388206018521</v>
      </c>
      <c r="Q2440" s="11"/>
      <c r="R2440" s="19"/>
      <c r="S2440" s="11"/>
      <c r="T2440" s="11"/>
      <c r="U2440" s="18" t="s">
        <v>168</v>
      </c>
    </row>
    <row r="2441" spans="1:21" ht="40.799999999999997">
      <c r="A2441" s="6">
        <v>43424.203009259261</v>
      </c>
      <c r="B2441" s="7" t="str">
        <f>HYPERLINK("https://twitter.com/jjabierc","@jjabierc")</f>
        <v>@jjabierc</v>
      </c>
      <c r="C2441" s="27" t="s">
        <v>5537</v>
      </c>
      <c r="D2441" s="9" t="s">
        <v>5538</v>
      </c>
      <c r="E2441" s="10" t="str">
        <f>HYPERLINK("https://twitter.com/jjabierc/status/1064864016680607744","1064864016680607744")</f>
        <v>1064864016680607744</v>
      </c>
      <c r="F2441" s="11"/>
      <c r="G2441" s="11"/>
      <c r="H2441" s="11"/>
      <c r="I2441" s="12">
        <v>0</v>
      </c>
      <c r="J2441" s="12">
        <v>0</v>
      </c>
      <c r="K2441" s="13" t="str">
        <f>HYPERLINK("http://twitter.com/download/android","Twitter for Android")</f>
        <v>Twitter for Android</v>
      </c>
      <c r="L2441" s="12">
        <v>606</v>
      </c>
      <c r="M2441" s="12">
        <v>687</v>
      </c>
      <c r="N2441" s="12">
        <v>29</v>
      </c>
      <c r="O2441" s="15"/>
      <c r="P2441" s="6">
        <v>40578.302615740744</v>
      </c>
      <c r="Q2441" s="16" t="s">
        <v>5539</v>
      </c>
      <c r="R2441" s="17" t="s">
        <v>5540</v>
      </c>
      <c r="S2441" s="11"/>
      <c r="T2441" s="11"/>
      <c r="U2441" s="10" t="str">
        <f>HYPERLINK("https://pbs.twimg.com/profile_images/1006849956127404032/JdUpB_Ck.jpg","View")</f>
        <v>View</v>
      </c>
    </row>
    <row r="2442" spans="1:21" ht="51">
      <c r="A2442" s="6">
        <v>43424.202916666662</v>
      </c>
      <c r="B2442" s="7" t="str">
        <f>HYPERLINK("https://twitter.com/blogkeats","@blogkeats")</f>
        <v>@blogkeats</v>
      </c>
      <c r="C2442" s="8" t="s">
        <v>8495</v>
      </c>
      <c r="D2442" s="9" t="s">
        <v>8496</v>
      </c>
      <c r="E2442" s="10" t="str">
        <f>HYPERLINK("https://twitter.com/blogkeats/status/1064863984862601218","1064863984862601218")</f>
        <v>1064863984862601218</v>
      </c>
      <c r="F2442" s="11"/>
      <c r="G2442" s="11"/>
      <c r="H2442" s="11"/>
      <c r="I2442" s="12">
        <v>9</v>
      </c>
      <c r="J2442" s="12">
        <v>17</v>
      </c>
      <c r="K2442" s="13" t="str">
        <f>HYPERLINK("http://twitter.com/download/iphone","Twitter for iPhone")</f>
        <v>Twitter for iPhone</v>
      </c>
      <c r="L2442" s="12">
        <v>787</v>
      </c>
      <c r="M2442" s="12">
        <v>2430</v>
      </c>
      <c r="N2442" s="12">
        <v>5</v>
      </c>
      <c r="O2442" s="15"/>
      <c r="P2442" s="6">
        <v>42674.91684027778</v>
      </c>
      <c r="Q2442" s="16" t="s">
        <v>214</v>
      </c>
      <c r="R2442" s="17" t="s">
        <v>8497</v>
      </c>
      <c r="S2442" s="14" t="s">
        <v>8498</v>
      </c>
      <c r="T2442" s="11"/>
      <c r="U2442" s="10" t="str">
        <f>HYPERLINK("https://pbs.twimg.com/profile_images/805729743899426816/zrE6547R.jpg","View")</f>
        <v>View</v>
      </c>
    </row>
    <row r="2443" spans="1:21" ht="20.399999999999999">
      <c r="A2443" s="6">
        <v>43424.202280092592</v>
      </c>
      <c r="B2443" s="7" t="str">
        <f>HYPERLINK("https://twitter.com/aajimenezc","@aajimenezc")</f>
        <v>@aajimenezc</v>
      </c>
      <c r="C2443" s="8" t="s">
        <v>5541</v>
      </c>
      <c r="D2443" s="9" t="s">
        <v>5542</v>
      </c>
      <c r="E2443" s="10" t="str">
        <f>HYPERLINK("https://twitter.com/aajimenezc/status/1064863752271667200","1064863752271667200")</f>
        <v>1064863752271667200</v>
      </c>
      <c r="F2443" s="11"/>
      <c r="G2443" s="11"/>
      <c r="H2443" s="11"/>
      <c r="I2443" s="12">
        <v>0</v>
      </c>
      <c r="J2443" s="12">
        <v>0</v>
      </c>
      <c r="K2443" s="13" t="str">
        <f t="shared" ref="K2443:K2444" si="504">HYPERLINK("http://twitter.com/download/android","Twitter for Android")</f>
        <v>Twitter for Android</v>
      </c>
      <c r="L2443" s="12">
        <v>101</v>
      </c>
      <c r="M2443" s="12">
        <v>587</v>
      </c>
      <c r="N2443" s="12">
        <v>3</v>
      </c>
      <c r="O2443" s="15"/>
      <c r="P2443" s="6">
        <v>40910.441284722227</v>
      </c>
      <c r="Q2443" s="16" t="s">
        <v>3147</v>
      </c>
      <c r="R2443" s="17" t="s">
        <v>5545</v>
      </c>
      <c r="S2443" s="11"/>
      <c r="T2443" s="11"/>
      <c r="U2443" s="10" t="str">
        <f>HYPERLINK("https://pbs.twimg.com/profile_images/1908872154/images_9_.jpg","View")</f>
        <v>View</v>
      </c>
    </row>
    <row r="2444" spans="1:21" ht="112.2">
      <c r="A2444" s="6">
        <v>43424.201747685191</v>
      </c>
      <c r="B2444" s="7" t="str">
        <f>HYPERLINK("https://twitter.com/MSPE_Andalucia","@MSPE_Andalucia")</f>
        <v>@MSPE_Andalucia</v>
      </c>
      <c r="C2444" s="8" t="s">
        <v>4369</v>
      </c>
      <c r="D2444" s="9" t="s">
        <v>5547</v>
      </c>
      <c r="E2444" s="10" t="str">
        <f>HYPERLINK("https://twitter.com/MSPE_Andalucia/status/1064863560533241856","1064863560533241856")</f>
        <v>1064863560533241856</v>
      </c>
      <c r="F2444" s="14" t="s">
        <v>5549</v>
      </c>
      <c r="G2444" s="14" t="s">
        <v>5550</v>
      </c>
      <c r="H2444" s="11"/>
      <c r="I2444" s="12">
        <v>0</v>
      </c>
      <c r="J2444" s="12">
        <v>2</v>
      </c>
      <c r="K2444" s="13" t="str">
        <f t="shared" si="504"/>
        <v>Twitter for Android</v>
      </c>
      <c r="L2444" s="12">
        <v>136</v>
      </c>
      <c r="M2444" s="12">
        <v>113</v>
      </c>
      <c r="N2444" s="12">
        <v>0</v>
      </c>
      <c r="O2444" s="15"/>
      <c r="P2444" s="6">
        <v>43280.015393518523</v>
      </c>
      <c r="Q2444" s="11"/>
      <c r="R2444" s="17" t="s">
        <v>4374</v>
      </c>
      <c r="S2444" s="11"/>
      <c r="T2444" s="11"/>
      <c r="U2444" s="10" t="str">
        <f>HYPERLINK("https://pbs.twimg.com/profile_images/1012598019978616832/OlAJNRNM.jpg","View")</f>
        <v>View</v>
      </c>
    </row>
    <row r="2445" spans="1:21" ht="40.799999999999997">
      <c r="A2445" s="6">
        <v>43424.201736111107</v>
      </c>
      <c r="B2445" s="7" t="str">
        <f>HYPERLINK("https://twitter.com/mireiacrmzn","@mireiacrmzn")</f>
        <v>@mireiacrmzn</v>
      </c>
      <c r="C2445" s="8" t="s">
        <v>5551</v>
      </c>
      <c r="D2445" s="9" t="s">
        <v>5554</v>
      </c>
      <c r="E2445" s="10" t="str">
        <f>HYPERLINK("https://twitter.com/mireiacrmzn/status/1064863553889476608","1064863553889476608")</f>
        <v>1064863553889476608</v>
      </c>
      <c r="F2445" s="11"/>
      <c r="G2445" s="11"/>
      <c r="H2445" s="11"/>
      <c r="I2445" s="12">
        <v>0</v>
      </c>
      <c r="J2445" s="12">
        <v>0</v>
      </c>
      <c r="K2445" s="13" t="str">
        <f>HYPERLINK("http://twitter.com/download/iphone","Twitter for iPhone")</f>
        <v>Twitter for iPhone</v>
      </c>
      <c r="L2445" s="12">
        <v>569</v>
      </c>
      <c r="M2445" s="12">
        <v>2329</v>
      </c>
      <c r="N2445" s="12">
        <v>23</v>
      </c>
      <c r="O2445" s="15"/>
      <c r="P2445" s="6">
        <v>40624.181666666671</v>
      </c>
      <c r="Q2445" s="16" t="s">
        <v>256</v>
      </c>
      <c r="R2445" s="17" t="s">
        <v>5555</v>
      </c>
      <c r="S2445" s="14" t="s">
        <v>5556</v>
      </c>
      <c r="T2445" s="11"/>
      <c r="U2445" s="10" t="str">
        <f>HYPERLINK("https://pbs.twimg.com/profile_images/879087052381458433/vJ_gkKFM.jpg","View")</f>
        <v>View</v>
      </c>
    </row>
    <row r="2446" spans="1:21" ht="40.799999999999997">
      <c r="A2446" s="6">
        <v>43424.200787037036</v>
      </c>
      <c r="B2446" s="7" t="str">
        <f>HYPERLINK("https://twitter.com/Valided_","@Valided_")</f>
        <v>@Valided_</v>
      </c>
      <c r="C2446" s="8" t="s">
        <v>5558</v>
      </c>
      <c r="D2446" s="9" t="s">
        <v>5559</v>
      </c>
      <c r="E2446" s="10" t="str">
        <f>HYPERLINK("https://twitter.com/Valided_/status/1064863209788764161","1064863209788764161")</f>
        <v>1064863209788764161</v>
      </c>
      <c r="F2446" s="11"/>
      <c r="G2446" s="11"/>
      <c r="H2446" s="11"/>
      <c r="I2446" s="12">
        <v>0</v>
      </c>
      <c r="J2446" s="12">
        <v>0</v>
      </c>
      <c r="K2446" s="13" t="str">
        <f>HYPERLINK("http://twitter.com/download/android","Twitter for Android")</f>
        <v>Twitter for Android</v>
      </c>
      <c r="L2446" s="12">
        <v>4</v>
      </c>
      <c r="M2446" s="12">
        <v>19</v>
      </c>
      <c r="N2446" s="12">
        <v>0</v>
      </c>
      <c r="O2446" s="15"/>
      <c r="P2446" s="6">
        <v>42771.196689814809</v>
      </c>
      <c r="Q2446" s="11"/>
      <c r="R2446" s="17" t="s">
        <v>5562</v>
      </c>
      <c r="S2446" s="11"/>
      <c r="T2446" s="11"/>
      <c r="U2446" s="10" t="str">
        <f>HYPERLINK("https://pbs.twimg.com/profile_images/1032717743202689025/sUK0Fyf-.jpg","View")</f>
        <v>View</v>
      </c>
    </row>
    <row r="2447" spans="1:21" ht="40.799999999999997">
      <c r="A2447" s="6">
        <v>43424.200717592597</v>
      </c>
      <c r="B2447" s="7" t="str">
        <f>HYPERLINK("https://twitter.com/OdJordi","@OdJordi")</f>
        <v>@OdJordi</v>
      </c>
      <c r="C2447" s="8" t="s">
        <v>5563</v>
      </c>
      <c r="D2447" s="9" t="s">
        <v>5564</v>
      </c>
      <c r="E2447" s="10" t="str">
        <f>HYPERLINK("https://twitter.com/OdJordi/status/1064863185247838208","1064863185247838208")</f>
        <v>1064863185247838208</v>
      </c>
      <c r="F2447" s="11"/>
      <c r="G2447" s="11"/>
      <c r="H2447" s="11"/>
      <c r="I2447" s="12">
        <v>0</v>
      </c>
      <c r="J2447" s="12">
        <v>0</v>
      </c>
      <c r="K2447" s="13" t="str">
        <f>HYPERLINK("http://twitter.com","Twitter Web Client")</f>
        <v>Twitter Web Client</v>
      </c>
      <c r="L2447" s="12">
        <v>125</v>
      </c>
      <c r="M2447" s="12">
        <v>315</v>
      </c>
      <c r="N2447" s="12">
        <v>1</v>
      </c>
      <c r="O2447" s="15"/>
      <c r="P2447" s="6">
        <v>43364.409398148149</v>
      </c>
      <c r="Q2447" s="16" t="s">
        <v>5566</v>
      </c>
      <c r="R2447" s="17" t="s">
        <v>5567</v>
      </c>
      <c r="S2447" s="11"/>
      <c r="T2447" s="11"/>
      <c r="U2447" s="10" t="str">
        <f>HYPERLINK("https://pbs.twimg.com/profile_images/1051850895523278848/MJfJWY0y.jpg","View")</f>
        <v>View</v>
      </c>
    </row>
    <row r="2448" spans="1:21" ht="40.799999999999997">
      <c r="A2448" s="6">
        <v>43424.200497685189</v>
      </c>
      <c r="B2448" s="7" t="str">
        <f>HYPERLINK("https://twitter.com/LaTevaVida","@LaTevaVida")</f>
        <v>@LaTevaVida</v>
      </c>
      <c r="C2448" s="8" t="s">
        <v>8499</v>
      </c>
      <c r="D2448" s="9" t="s">
        <v>8500</v>
      </c>
      <c r="E2448" s="10" t="str">
        <f>HYPERLINK("https://twitter.com/LaTevaVida/status/1064863105975492609","1064863105975492609")</f>
        <v>1064863105975492609</v>
      </c>
      <c r="F2448" s="11"/>
      <c r="G2448" s="11"/>
      <c r="H2448" s="11"/>
      <c r="I2448" s="12">
        <v>1</v>
      </c>
      <c r="J2448" s="12">
        <v>3</v>
      </c>
      <c r="K2448" s="13" t="str">
        <f>HYPERLINK("http://twitter.com/download/android","Twitter for Android")</f>
        <v>Twitter for Android</v>
      </c>
      <c r="L2448" s="12">
        <v>5526</v>
      </c>
      <c r="M2448" s="12">
        <v>519</v>
      </c>
      <c r="N2448" s="12">
        <v>100</v>
      </c>
      <c r="O2448" s="15"/>
      <c r="P2448" s="6">
        <v>41562.289479166662</v>
      </c>
      <c r="Q2448" s="16" t="s">
        <v>256</v>
      </c>
      <c r="R2448" s="17" t="s">
        <v>8501</v>
      </c>
      <c r="S2448" s="11"/>
      <c r="T2448" s="11"/>
      <c r="U2448" s="10" t="str">
        <f>HYPERLINK("https://pbs.twimg.com/profile_images/884131380669685764/D_4Xx3DE.jpg","View")</f>
        <v>View</v>
      </c>
    </row>
    <row r="2449" spans="1:21" ht="51">
      <c r="A2449" s="6">
        <v>43424.20003472222</v>
      </c>
      <c r="B2449" s="7" t="str">
        <f>HYPERLINK("https://twitter.com/Susamj","@Susamj")</f>
        <v>@Susamj</v>
      </c>
      <c r="C2449" s="8" t="s">
        <v>5570</v>
      </c>
      <c r="D2449" s="9" t="s">
        <v>5571</v>
      </c>
      <c r="E2449" s="10" t="str">
        <f>HYPERLINK("https://twitter.com/Susamj/status/1064862940833202176","1064862940833202176")</f>
        <v>1064862940833202176</v>
      </c>
      <c r="F2449" s="11"/>
      <c r="G2449" s="11"/>
      <c r="H2449" s="11"/>
      <c r="I2449" s="12">
        <v>1</v>
      </c>
      <c r="J2449" s="12">
        <v>4</v>
      </c>
      <c r="K2449" s="13" t="str">
        <f t="shared" ref="K2449:K2450" si="505">HYPERLINK("http://twitter.com","Twitter Web Client")</f>
        <v>Twitter Web Client</v>
      </c>
      <c r="L2449" s="12">
        <v>325</v>
      </c>
      <c r="M2449" s="12">
        <v>663</v>
      </c>
      <c r="N2449" s="12">
        <v>8</v>
      </c>
      <c r="O2449" s="15"/>
      <c r="P2449" s="6">
        <v>40364.515671296293</v>
      </c>
      <c r="Q2449" s="16" t="s">
        <v>38</v>
      </c>
      <c r="R2449" s="17" t="s">
        <v>5572</v>
      </c>
      <c r="S2449" s="11"/>
      <c r="T2449" s="11"/>
      <c r="U2449" s="10" t="str">
        <f>HYPERLINK("https://pbs.twimg.com/profile_images/1051170159757529095/PABvtMB1.jpg","View")</f>
        <v>View</v>
      </c>
    </row>
    <row r="2450" spans="1:21" ht="61.2">
      <c r="A2450" s="6">
        <v>43424.199837962966</v>
      </c>
      <c r="B2450" s="7" t="str">
        <f>HYPERLINK("https://twitter.com/montieldearnaiz","@montieldearnaiz")</f>
        <v>@montieldearnaiz</v>
      </c>
      <c r="C2450" s="8" t="s">
        <v>8502</v>
      </c>
      <c r="D2450" s="9" t="s">
        <v>8503</v>
      </c>
      <c r="E2450" s="10" t="str">
        <f>HYPERLINK("https://twitter.com/montieldearnaiz/status/1064862865822281729","1064862865822281729")</f>
        <v>1064862865822281729</v>
      </c>
      <c r="F2450" s="16" t="s">
        <v>8474</v>
      </c>
      <c r="G2450" s="11"/>
      <c r="H2450" s="11"/>
      <c r="I2450" s="12">
        <v>0</v>
      </c>
      <c r="J2450" s="12">
        <v>1</v>
      </c>
      <c r="K2450" s="13" t="str">
        <f t="shared" si="505"/>
        <v>Twitter Web Client</v>
      </c>
      <c r="L2450" s="12">
        <v>1878</v>
      </c>
      <c r="M2450" s="12">
        <v>1389</v>
      </c>
      <c r="N2450" s="12">
        <v>55</v>
      </c>
      <c r="O2450" s="15"/>
      <c r="P2450" s="6">
        <v>40375.168437500004</v>
      </c>
      <c r="Q2450" s="16" t="s">
        <v>8504</v>
      </c>
      <c r="R2450" s="17" t="s">
        <v>8505</v>
      </c>
      <c r="S2450" s="14" t="s">
        <v>8506</v>
      </c>
      <c r="T2450" s="11"/>
      <c r="U2450" s="10" t="str">
        <f>HYPERLINK("https://pbs.twimg.com/profile_images/1047774630533128192/q7WT8D-H.jpg","View")</f>
        <v>View</v>
      </c>
    </row>
    <row r="2451" spans="1:21" ht="51">
      <c r="A2451" s="6">
        <v>43424.199247685188</v>
      </c>
      <c r="B2451" s="7" t="str">
        <f>HYPERLINK("https://twitter.com/sumam057","@sumam057")</f>
        <v>@sumam057</v>
      </c>
      <c r="C2451" s="8" t="s">
        <v>8507</v>
      </c>
      <c r="D2451" s="9" t="s">
        <v>8508</v>
      </c>
      <c r="E2451" s="10" t="str">
        <f>HYPERLINK("https://twitter.com/sumam057/status/1064862654836219905","1064862654836219905")</f>
        <v>1064862654836219905</v>
      </c>
      <c r="F2451" s="11"/>
      <c r="G2451" s="11"/>
      <c r="H2451" s="11"/>
      <c r="I2451" s="12">
        <v>0</v>
      </c>
      <c r="J2451" s="12">
        <v>1</v>
      </c>
      <c r="K2451" s="13" t="str">
        <f>HYPERLINK("http://twitter.com/download/iphone","Twitter for iPhone")</f>
        <v>Twitter for iPhone</v>
      </c>
      <c r="L2451" s="12">
        <v>54</v>
      </c>
      <c r="M2451" s="12">
        <v>116</v>
      </c>
      <c r="N2451" s="12">
        <v>2</v>
      </c>
      <c r="O2451" s="15"/>
      <c r="P2451" s="6">
        <v>42425.18368055555</v>
      </c>
      <c r="Q2451" s="16" t="s">
        <v>256</v>
      </c>
      <c r="R2451" s="17" t="s">
        <v>8509</v>
      </c>
      <c r="S2451" s="11"/>
      <c r="T2451" s="11"/>
      <c r="U2451" s="10" t="str">
        <f>HYPERLINK("https://pbs.twimg.com/profile_images/1047724674220789760/y2bww6f8.jpg","View")</f>
        <v>View</v>
      </c>
    </row>
    <row r="2452" spans="1:21" ht="112.2">
      <c r="A2452" s="6">
        <v>43424.19835648148</v>
      </c>
      <c r="B2452" s="7" t="str">
        <f>HYPERLINK("https://twitter.com/MSPE_Andalucia","@MSPE_Andalucia")</f>
        <v>@MSPE_Andalucia</v>
      </c>
      <c r="C2452" s="8" t="s">
        <v>4369</v>
      </c>
      <c r="D2452" s="9" t="s">
        <v>5573</v>
      </c>
      <c r="E2452" s="10" t="str">
        <f>HYPERLINK("https://twitter.com/MSPE_Andalucia/status/1064862331623170053","1064862331623170053")</f>
        <v>1064862331623170053</v>
      </c>
      <c r="F2452" s="14" t="s">
        <v>5574</v>
      </c>
      <c r="G2452" s="14" t="s">
        <v>5575</v>
      </c>
      <c r="H2452" s="11"/>
      <c r="I2452" s="12">
        <v>4</v>
      </c>
      <c r="J2452" s="12">
        <v>6</v>
      </c>
      <c r="K2452" s="13" t="str">
        <f>HYPERLINK("http://twitter.com/download/android","Twitter for Android")</f>
        <v>Twitter for Android</v>
      </c>
      <c r="L2452" s="12">
        <v>136</v>
      </c>
      <c r="M2452" s="12">
        <v>113</v>
      </c>
      <c r="N2452" s="12">
        <v>0</v>
      </c>
      <c r="O2452" s="15"/>
      <c r="P2452" s="6">
        <v>43280.015393518523</v>
      </c>
      <c r="Q2452" s="11"/>
      <c r="R2452" s="17" t="s">
        <v>4374</v>
      </c>
      <c r="S2452" s="11"/>
      <c r="T2452" s="11"/>
      <c r="U2452" s="10" t="str">
        <f>HYPERLINK("https://pbs.twimg.com/profile_images/1012598019978616832/OlAJNRNM.jpg","View")</f>
        <v>View</v>
      </c>
    </row>
    <row r="2453" spans="1:21" ht="30.6">
      <c r="A2453" s="6">
        <v>43424.198344907403</v>
      </c>
      <c r="B2453" s="7" t="str">
        <f>HYPERLINK("https://twitter.com/mareaxenaterra","@mareaxenaterra")</f>
        <v>@mareaxenaterra</v>
      </c>
      <c r="C2453" s="8" t="s">
        <v>8510</v>
      </c>
      <c r="D2453" s="9" t="s">
        <v>8511</v>
      </c>
      <c r="E2453" s="10" t="str">
        <f>HYPERLINK("https://twitter.com/mareaxenaterra/status/1064862326287945729","1064862326287945729")</f>
        <v>1064862326287945729</v>
      </c>
      <c r="F2453" s="11"/>
      <c r="G2453" s="11"/>
      <c r="H2453" s="11"/>
      <c r="I2453" s="12">
        <v>0</v>
      </c>
      <c r="J2453" s="12">
        <v>0</v>
      </c>
      <c r="K2453" s="13" t="str">
        <f>HYPERLINK("https://mobile.twitter.com","Twitter Lite")</f>
        <v>Twitter Lite</v>
      </c>
      <c r="L2453" s="12">
        <v>1148</v>
      </c>
      <c r="M2453" s="12">
        <v>29</v>
      </c>
      <c r="N2453" s="12">
        <v>27</v>
      </c>
      <c r="O2453" s="15"/>
      <c r="P2453" s="6">
        <v>40628.543645833335</v>
      </c>
      <c r="Q2453" s="16" t="s">
        <v>8512</v>
      </c>
      <c r="R2453" s="17" t="s">
        <v>8513</v>
      </c>
      <c r="S2453" s="14" t="s">
        <v>8514</v>
      </c>
      <c r="T2453" s="11"/>
      <c r="U2453" s="10" t="str">
        <f>HYPERLINK("https://pbs.twimg.com/profile_images/1015718108714201096/XIoR4maw.jpg","View")</f>
        <v>View</v>
      </c>
    </row>
    <row r="2454" spans="1:21" ht="51">
      <c r="A2454" s="6">
        <v>43424.197708333333</v>
      </c>
      <c r="B2454" s="7" t="str">
        <f>HYPERLINK("https://twitter.com/ismaelquesada","@ismaelquesada")</f>
        <v>@ismaelquesada</v>
      </c>
      <c r="C2454" s="8" t="s">
        <v>8515</v>
      </c>
      <c r="D2454" s="9" t="s">
        <v>8516</v>
      </c>
      <c r="E2454" s="10" t="str">
        <f>HYPERLINK("https://twitter.com/ismaelquesada/status/1064862097253851136","1064862097253851136")</f>
        <v>1064862097253851136</v>
      </c>
      <c r="F2454" s="11"/>
      <c r="G2454" s="11"/>
      <c r="H2454" s="11"/>
      <c r="I2454" s="12">
        <v>22</v>
      </c>
      <c r="J2454" s="12">
        <v>37</v>
      </c>
      <c r="K2454" s="13" t="str">
        <f>HYPERLINK("http://twitter.com","Twitter Web Client")</f>
        <v>Twitter Web Client</v>
      </c>
      <c r="L2454" s="12">
        <v>32321</v>
      </c>
      <c r="M2454" s="12">
        <v>19059</v>
      </c>
      <c r="N2454" s="12">
        <v>224</v>
      </c>
      <c r="O2454" s="15"/>
      <c r="P2454" s="6">
        <v>40547.577881944446</v>
      </c>
      <c r="Q2454" s="16" t="s">
        <v>87</v>
      </c>
      <c r="R2454" s="17" t="s">
        <v>8517</v>
      </c>
      <c r="S2454" s="14" t="s">
        <v>8518</v>
      </c>
      <c r="T2454" s="11"/>
      <c r="U2454" s="10" t="str">
        <f>HYPERLINK("https://pbs.twimg.com/profile_images/1043894276663517184/_uDodh84.jpg","View")</f>
        <v>View</v>
      </c>
    </row>
    <row r="2455" spans="1:21" ht="30.6">
      <c r="A2455" s="6">
        <v>43424.197384259256</v>
      </c>
      <c r="B2455" s="7" t="str">
        <f>HYPERLINK("https://twitter.com/a_orfao","@a_orfao")</f>
        <v>@a_orfao</v>
      </c>
      <c r="C2455" s="8" t="s">
        <v>8519</v>
      </c>
      <c r="D2455" s="9" t="s">
        <v>8520</v>
      </c>
      <c r="E2455" s="10" t="str">
        <f>HYPERLINK("https://twitter.com/a_orfao/status/1064861979788132353","1064861979788132353")</f>
        <v>1064861979788132353</v>
      </c>
      <c r="F2455" s="11"/>
      <c r="G2455" s="11"/>
      <c r="H2455" s="11"/>
      <c r="I2455" s="12">
        <v>0</v>
      </c>
      <c r="J2455" s="12">
        <v>1</v>
      </c>
      <c r="K2455" s="13" t="str">
        <f>HYPERLINK("https://about.twitter.com/products/tweetdeck","TweetDeck")</f>
        <v>TweetDeck</v>
      </c>
      <c r="L2455" s="12">
        <v>847</v>
      </c>
      <c r="M2455" s="12">
        <v>2203</v>
      </c>
      <c r="N2455" s="12">
        <v>44</v>
      </c>
      <c r="O2455" s="15"/>
      <c r="P2455" s="6">
        <v>40157.477893518517</v>
      </c>
      <c r="Q2455" s="16" t="s">
        <v>886</v>
      </c>
      <c r="R2455" s="17" t="s">
        <v>8521</v>
      </c>
      <c r="S2455" s="11"/>
      <c r="T2455" s="11"/>
      <c r="U2455" s="10" t="str">
        <f>HYPERLINK("https://pbs.twimg.com/profile_images/874232215823163392/BX1IkmQa.jpg","View")</f>
        <v>View</v>
      </c>
    </row>
    <row r="2456" spans="1:21" ht="40.799999999999997">
      <c r="A2456" s="6">
        <v>43424.197164351848</v>
      </c>
      <c r="B2456" s="7" t="str">
        <f>HYPERLINK("https://twitter.com/ahorapodemos","@ahorapodemos")</f>
        <v>@ahorapodemos</v>
      </c>
      <c r="C2456" s="8" t="s">
        <v>48</v>
      </c>
      <c r="D2456" s="9" t="s">
        <v>5578</v>
      </c>
      <c r="E2456" s="10" t="str">
        <f>HYPERLINK("https://twitter.com/ahorapodemos/status/1064861898938769408","1064861898938769408")</f>
        <v>1064861898938769408</v>
      </c>
      <c r="F2456" s="11"/>
      <c r="G2456" s="14" t="s">
        <v>5579</v>
      </c>
      <c r="H2456" s="11"/>
      <c r="I2456" s="12">
        <v>288</v>
      </c>
      <c r="J2456" s="12">
        <v>388</v>
      </c>
      <c r="K2456" s="13" t="str">
        <f>HYPERLINK("https://studio.twitter.com","Media Studio")</f>
        <v>Media Studio</v>
      </c>
      <c r="L2456" s="12">
        <v>1338987</v>
      </c>
      <c r="M2456" s="12">
        <v>1529</v>
      </c>
      <c r="N2456" s="12">
        <v>5654</v>
      </c>
      <c r="O2456" s="18" t="s">
        <v>52</v>
      </c>
      <c r="P2456" s="6">
        <v>41651.201979166668</v>
      </c>
      <c r="Q2456" s="16" t="s">
        <v>54</v>
      </c>
      <c r="R2456" s="17" t="s">
        <v>56</v>
      </c>
      <c r="S2456" s="14" t="s">
        <v>58</v>
      </c>
      <c r="T2456" s="11"/>
      <c r="U2456" s="10" t="str">
        <f>HYPERLINK("https://pbs.twimg.com/profile_images/1036536413548892160/J0K-j7cz.jpg","View")</f>
        <v>View</v>
      </c>
    </row>
    <row r="2457" spans="1:21" ht="51">
      <c r="A2457" s="6">
        <v>43424.196550925924</v>
      </c>
      <c r="B2457" s="7" t="str">
        <f>HYPERLINK("https://twitter.com/javierjuantur","@javierjuantur")</f>
        <v>@javierjuantur</v>
      </c>
      <c r="C2457" s="8" t="s">
        <v>1521</v>
      </c>
      <c r="D2457" s="9" t="s">
        <v>5583</v>
      </c>
      <c r="E2457" s="10" t="str">
        <f>HYPERLINK("https://twitter.com/javierjuantur/status/1064861678356086784","1064861678356086784")</f>
        <v>1064861678356086784</v>
      </c>
      <c r="F2457" s="11"/>
      <c r="G2457" s="14" t="s">
        <v>5584</v>
      </c>
      <c r="H2457" s="11"/>
      <c r="I2457" s="12">
        <v>113</v>
      </c>
      <c r="J2457" s="12">
        <v>82</v>
      </c>
      <c r="K2457" s="13" t="str">
        <f>HYPERLINK("http://twitter.com","Twitter Web Client")</f>
        <v>Twitter Web Client</v>
      </c>
      <c r="L2457" s="12">
        <v>61258</v>
      </c>
      <c r="M2457" s="12">
        <v>64137</v>
      </c>
      <c r="N2457" s="12">
        <v>309</v>
      </c>
      <c r="O2457" s="15"/>
      <c r="P2457" s="6">
        <v>41420.299872685187</v>
      </c>
      <c r="Q2457" s="16" t="s">
        <v>268</v>
      </c>
      <c r="R2457" s="17" t="s">
        <v>1527</v>
      </c>
      <c r="S2457" s="11"/>
      <c r="T2457" s="11"/>
      <c r="U2457" s="10" t="str">
        <f>HYPERLINK("https://pbs.twimg.com/profile_images/900746297732366337/YZCIw7G_.jpg","View")</f>
        <v>View</v>
      </c>
    </row>
    <row r="2458" spans="1:21" ht="30.6">
      <c r="A2458" s="6">
        <v>43424.196053240739</v>
      </c>
      <c r="B2458" s="7" t="str">
        <f>HYPERLINK("https://twitter.com/TeresaN511","@TeresaN511")</f>
        <v>@TeresaN511</v>
      </c>
      <c r="C2458" s="8" t="s">
        <v>548</v>
      </c>
      <c r="D2458" s="9" t="s">
        <v>8522</v>
      </c>
      <c r="E2458" s="10" t="str">
        <f>HYPERLINK("https://twitter.com/TeresaN511/status/1064861494251347975","1064861494251347975")</f>
        <v>1064861494251347975</v>
      </c>
      <c r="F2458" s="14" t="s">
        <v>8523</v>
      </c>
      <c r="G2458" s="14" t="s">
        <v>8524</v>
      </c>
      <c r="H2458" s="11"/>
      <c r="I2458" s="12">
        <v>0</v>
      </c>
      <c r="J2458" s="12">
        <v>0</v>
      </c>
      <c r="K2458" s="13" t="str">
        <f>HYPERLINK("https://ifttt.com","IFTTT")</f>
        <v>IFTTT</v>
      </c>
      <c r="L2458" s="12">
        <v>22</v>
      </c>
      <c r="M2458" s="12">
        <v>13</v>
      </c>
      <c r="N2458" s="12">
        <v>2</v>
      </c>
      <c r="O2458" s="15"/>
      <c r="P2458" s="6">
        <v>42736.200069444443</v>
      </c>
      <c r="Q2458" s="11"/>
      <c r="R2458" s="17" t="s">
        <v>554</v>
      </c>
      <c r="S2458" s="11"/>
      <c r="T2458" s="11"/>
      <c r="U2458" s="10" t="str">
        <f>HYPERLINK("https://pbs.twimg.com/profile_images/819116744342114304/ytQFaOmN.jpg","View")</f>
        <v>View</v>
      </c>
    </row>
    <row r="2459" spans="1:21" ht="30.6">
      <c r="A2459" s="6">
        <v>43424.195347222223</v>
      </c>
      <c r="B2459" s="7" t="str">
        <f>HYPERLINK("https://twitter.com/UDECAndujar","@UDECAndujar")</f>
        <v>@UDECAndujar</v>
      </c>
      <c r="C2459" s="8" t="s">
        <v>8525</v>
      </c>
      <c r="D2459" s="9" t="s">
        <v>8526</v>
      </c>
      <c r="E2459" s="10" t="str">
        <f>HYPERLINK("https://twitter.com/UDECAndujar/status/1064861242152632321","1064861242152632321")</f>
        <v>1064861242152632321</v>
      </c>
      <c r="F2459" s="11"/>
      <c r="G2459" s="11"/>
      <c r="H2459" s="11"/>
      <c r="I2459" s="12">
        <v>0</v>
      </c>
      <c r="J2459" s="12">
        <v>0</v>
      </c>
      <c r="K2459" s="13" t="str">
        <f>HYPERLINK("https://mobile.twitter.com","Twitter Lite")</f>
        <v>Twitter Lite</v>
      </c>
      <c r="L2459" s="12">
        <v>357</v>
      </c>
      <c r="M2459" s="12">
        <v>1245</v>
      </c>
      <c r="N2459" s="12">
        <v>0</v>
      </c>
      <c r="O2459" s="15"/>
      <c r="P2459" s="6">
        <v>42416.191435185188</v>
      </c>
      <c r="Q2459" s="16" t="s">
        <v>93</v>
      </c>
      <c r="R2459" s="17" t="s">
        <v>8527</v>
      </c>
      <c r="S2459" s="14" t="s">
        <v>8528</v>
      </c>
      <c r="T2459" s="11"/>
      <c r="U2459" s="10" t="str">
        <f>HYPERLINK("https://pbs.twimg.com/profile_images/968183684623945728/hyAOTjnw.jpg","View")</f>
        <v>View</v>
      </c>
    </row>
    <row r="2460" spans="1:21" ht="51">
      <c r="A2460" s="6">
        <v>43424.194768518515</v>
      </c>
      <c r="B2460" s="7" t="str">
        <f>HYPERLINK("https://twitter.com/Cristina24fc","@Cristina24fc")</f>
        <v>@Cristina24fc</v>
      </c>
      <c r="C2460" s="8" t="s">
        <v>8529</v>
      </c>
      <c r="D2460" s="9" t="s">
        <v>8530</v>
      </c>
      <c r="E2460" s="10" t="str">
        <f>HYPERLINK("https://twitter.com/Cristina24fc/status/1064861031317553152","1064861031317553152")</f>
        <v>1064861031317553152</v>
      </c>
      <c r="F2460" s="11"/>
      <c r="G2460" s="11"/>
      <c r="H2460" s="11"/>
      <c r="I2460" s="12">
        <v>0</v>
      </c>
      <c r="J2460" s="12">
        <v>3</v>
      </c>
      <c r="K2460" s="13" t="str">
        <f>HYPERLINK("http://twitter.com/download/android","Twitter for Android")</f>
        <v>Twitter for Android</v>
      </c>
      <c r="L2460" s="12">
        <v>1713</v>
      </c>
      <c r="M2460" s="12">
        <v>1737</v>
      </c>
      <c r="N2460" s="12">
        <v>16</v>
      </c>
      <c r="O2460" s="15"/>
      <c r="P2460" s="6">
        <v>41633.507604166669</v>
      </c>
      <c r="Q2460" s="11"/>
      <c r="R2460" s="19"/>
      <c r="S2460" s="11"/>
      <c r="T2460" s="11"/>
      <c r="U2460" s="10" t="str">
        <f>HYPERLINK("https://pbs.twimg.com/profile_images/1037302338527084548/8kYWx5a7.jpg","View")</f>
        <v>View</v>
      </c>
    </row>
    <row r="2461" spans="1:21" ht="30.6">
      <c r="A2461" s="6">
        <v>43424.194699074069</v>
      </c>
      <c r="B2461" s="7" t="str">
        <f>HYPERLINK("https://twitter.com/JYA12","@JYA12")</f>
        <v>@JYA12</v>
      </c>
      <c r="C2461" s="8" t="s">
        <v>8531</v>
      </c>
      <c r="D2461" s="9" t="s">
        <v>8532</v>
      </c>
      <c r="E2461" s="10" t="str">
        <f>HYPERLINK("https://twitter.com/JYA12/status/1064861004562075648","1064861004562075648")</f>
        <v>1064861004562075648</v>
      </c>
      <c r="F2461" s="11"/>
      <c r="G2461" s="11"/>
      <c r="H2461" s="11"/>
      <c r="I2461" s="12">
        <v>0</v>
      </c>
      <c r="J2461" s="12">
        <v>0</v>
      </c>
      <c r="K2461" s="13" t="str">
        <f>HYPERLINK("http://twitter.com","Twitter Web Client")</f>
        <v>Twitter Web Client</v>
      </c>
      <c r="L2461" s="12">
        <v>775</v>
      </c>
      <c r="M2461" s="12">
        <v>802</v>
      </c>
      <c r="N2461" s="12">
        <v>22</v>
      </c>
      <c r="O2461" s="15"/>
      <c r="P2461" s="6">
        <v>40948.546979166669</v>
      </c>
      <c r="Q2461" s="11"/>
      <c r="R2461" s="17" t="s">
        <v>8533</v>
      </c>
      <c r="S2461" s="11"/>
      <c r="T2461" s="11"/>
      <c r="U2461" s="10" t="str">
        <f>HYPERLINK("https://pbs.twimg.com/profile_images/767773039559933953/xTAlJVSq.jpg","View")</f>
        <v>View</v>
      </c>
    </row>
    <row r="2462" spans="1:21" ht="40.799999999999997">
      <c r="A2462" s="6">
        <v>43424.194212962961</v>
      </c>
      <c r="B2462" s="7" t="str">
        <f>HYPERLINK("https://twitter.com/SanPalop","@SanPalop")</f>
        <v>@SanPalop</v>
      </c>
      <c r="C2462" s="8" t="s">
        <v>8534</v>
      </c>
      <c r="D2462" s="9" t="s">
        <v>8535</v>
      </c>
      <c r="E2462" s="10" t="str">
        <f>HYPERLINK("https://twitter.com/SanPalop/status/1064860829047287809","1064860829047287809")</f>
        <v>1064860829047287809</v>
      </c>
      <c r="F2462" s="11"/>
      <c r="G2462" s="11"/>
      <c r="H2462" s="11"/>
      <c r="I2462" s="12">
        <v>0</v>
      </c>
      <c r="J2462" s="12">
        <v>0</v>
      </c>
      <c r="K2462" s="13" t="str">
        <f>HYPERLINK("http://twitter.com/download/android","Twitter for Android")</f>
        <v>Twitter for Android</v>
      </c>
      <c r="L2462" s="12">
        <v>24</v>
      </c>
      <c r="M2462" s="12">
        <v>95</v>
      </c>
      <c r="N2462" s="12">
        <v>0</v>
      </c>
      <c r="O2462" s="15"/>
      <c r="P2462" s="6">
        <v>43092.711979166663</v>
      </c>
      <c r="Q2462" s="11"/>
      <c r="R2462" s="19"/>
      <c r="S2462" s="11"/>
      <c r="T2462" s="11"/>
      <c r="U2462" s="10" t="str">
        <f>HYPERLINK("https://pbs.twimg.com/profile_images/1043070069599821824/Q2B3o55z.jpg","View")</f>
        <v>View</v>
      </c>
    </row>
    <row r="2463" spans="1:21" ht="51">
      <c r="A2463" s="6">
        <v>43424.193495370375</v>
      </c>
      <c r="B2463" s="7" t="str">
        <f>HYPERLINK("https://twitter.com/JYA12","@JYA12")</f>
        <v>@JYA12</v>
      </c>
      <c r="C2463" s="8" t="s">
        <v>8531</v>
      </c>
      <c r="D2463" s="9" t="s">
        <v>8536</v>
      </c>
      <c r="E2463" s="10" t="str">
        <f>HYPERLINK("https://twitter.com/JYA12/status/1064860568358699008","1064860568358699008")</f>
        <v>1064860568358699008</v>
      </c>
      <c r="F2463" s="11"/>
      <c r="G2463" s="11"/>
      <c r="H2463" s="11"/>
      <c r="I2463" s="12">
        <v>0</v>
      </c>
      <c r="J2463" s="12">
        <v>0</v>
      </c>
      <c r="K2463" s="13" t="str">
        <f>HYPERLINK("http://twitter.com","Twitter Web Client")</f>
        <v>Twitter Web Client</v>
      </c>
      <c r="L2463" s="12">
        <v>775</v>
      </c>
      <c r="M2463" s="12">
        <v>802</v>
      </c>
      <c r="N2463" s="12">
        <v>22</v>
      </c>
      <c r="O2463" s="15"/>
      <c r="P2463" s="6">
        <v>40948.546979166669</v>
      </c>
      <c r="Q2463" s="11"/>
      <c r="R2463" s="17" t="s">
        <v>8533</v>
      </c>
      <c r="S2463" s="11"/>
      <c r="T2463" s="11"/>
      <c r="U2463" s="10" t="str">
        <f>HYPERLINK("https://pbs.twimg.com/profile_images/767773039559933953/xTAlJVSq.jpg","View")</f>
        <v>View</v>
      </c>
    </row>
    <row r="2464" spans="1:21" ht="30.6">
      <c r="A2464" s="6">
        <v>43424.193252314813</v>
      </c>
      <c r="B2464" s="7" t="str">
        <f>HYPERLINK("https://twitter.com/FELIXMA66782826","@FELIXMA66782826")</f>
        <v>@FELIXMA66782826</v>
      </c>
      <c r="C2464" s="8" t="s">
        <v>4999</v>
      </c>
      <c r="D2464" s="9" t="s">
        <v>8537</v>
      </c>
      <c r="E2464" s="10" t="str">
        <f>HYPERLINK("https://twitter.com/FELIXMA66782826/status/1064860481582698497","1064860481582698497")</f>
        <v>1064860481582698497</v>
      </c>
      <c r="F2464" s="11"/>
      <c r="G2464" s="11"/>
      <c r="H2464" s="11"/>
      <c r="I2464" s="12">
        <v>0</v>
      </c>
      <c r="J2464" s="12">
        <v>0</v>
      </c>
      <c r="K2464" s="13" t="str">
        <f>HYPERLINK("http://twitter.com/download/android","Twitter for Android")</f>
        <v>Twitter for Android</v>
      </c>
      <c r="L2464" s="12">
        <v>123</v>
      </c>
      <c r="M2464" s="12">
        <v>419</v>
      </c>
      <c r="N2464" s="12">
        <v>0</v>
      </c>
      <c r="O2464" s="15"/>
      <c r="P2464" s="6">
        <v>43239.533032407402</v>
      </c>
      <c r="Q2464" s="16" t="s">
        <v>406</v>
      </c>
      <c r="R2464" s="17" t="s">
        <v>5003</v>
      </c>
      <c r="S2464" s="11"/>
      <c r="T2464" s="11"/>
      <c r="U2464" s="10" t="str">
        <f>HYPERLINK("https://pbs.twimg.com/profile_images/998112873586069505/YLtC4nWK.jpg","View")</f>
        <v>View</v>
      </c>
    </row>
    <row r="2465" spans="1:21" ht="30.6">
      <c r="A2465" s="6">
        <v>43424.193171296298</v>
      </c>
      <c r="B2465" s="7" t="str">
        <f>HYPERLINK("https://twitter.com/DebatAlRojoVivo","@DebatAlRojoVivo")</f>
        <v>@DebatAlRojoVivo</v>
      </c>
      <c r="C2465" s="8" t="s">
        <v>563</v>
      </c>
      <c r="D2465" s="9" t="s">
        <v>8522</v>
      </c>
      <c r="E2465" s="10" t="str">
        <f>HYPERLINK("https://twitter.com/DebatAlRojoVivo/status/1064860450049925120","1064860450049925120")</f>
        <v>1064860450049925120</v>
      </c>
      <c r="F2465" s="14" t="s">
        <v>8523</v>
      </c>
      <c r="G2465" s="14" t="s">
        <v>8524</v>
      </c>
      <c r="H2465" s="11"/>
      <c r="I2465" s="12">
        <v>13</v>
      </c>
      <c r="J2465" s="12">
        <v>14</v>
      </c>
      <c r="K2465" s="13" t="str">
        <f>HYPERLINK("http://dogtrack.es","DogTrack_Oficial")</f>
        <v>DogTrack_Oficial</v>
      </c>
      <c r="L2465" s="12">
        <v>484474</v>
      </c>
      <c r="M2465" s="12">
        <v>279</v>
      </c>
      <c r="N2465" s="12">
        <v>2909</v>
      </c>
      <c r="O2465" s="18" t="s">
        <v>52</v>
      </c>
      <c r="P2465" s="6">
        <v>40555.49763888889</v>
      </c>
      <c r="Q2465" s="11"/>
      <c r="R2465" s="17" t="s">
        <v>567</v>
      </c>
      <c r="S2465" s="14" t="s">
        <v>568</v>
      </c>
      <c r="T2465" s="11"/>
      <c r="U2465" s="10" t="str">
        <f>HYPERLINK("https://pbs.twimg.com/profile_images/1063014308857237504/GEyVz5-l.jpg","View")</f>
        <v>View</v>
      </c>
    </row>
    <row r="2466" spans="1:21" ht="40.799999999999997">
      <c r="A2466" s="6">
        <v>43424.193136574075</v>
      </c>
      <c r="B2466" s="7" t="str">
        <f>HYPERLINK("https://twitter.com/ruben_prz","@ruben_prz")</f>
        <v>@ruben_prz</v>
      </c>
      <c r="C2466" s="8" t="s">
        <v>5815</v>
      </c>
      <c r="D2466" s="9" t="s">
        <v>8538</v>
      </c>
      <c r="E2466" s="10" t="str">
        <f>HYPERLINK("https://twitter.com/ruben_prz/status/1064860440528850944","1064860440528850944")</f>
        <v>1064860440528850944</v>
      </c>
      <c r="F2466" s="14" t="s">
        <v>8202</v>
      </c>
      <c r="G2466" s="14" t="s">
        <v>8539</v>
      </c>
      <c r="H2466" s="11"/>
      <c r="I2466" s="12">
        <v>26</v>
      </c>
      <c r="J2466" s="12">
        <v>12</v>
      </c>
      <c r="K2466" s="13" t="str">
        <f>HYPERLINK("http://twitter.com","Twitter Web Client")</f>
        <v>Twitter Web Client</v>
      </c>
      <c r="L2466" s="12">
        <v>1597</v>
      </c>
      <c r="M2466" s="12">
        <v>413</v>
      </c>
      <c r="N2466" s="12">
        <v>40</v>
      </c>
      <c r="O2466" s="15"/>
      <c r="P2466" s="6">
        <v>40936.302395833336</v>
      </c>
      <c r="Q2466" s="16" t="s">
        <v>1206</v>
      </c>
      <c r="R2466" s="17" t="s">
        <v>5819</v>
      </c>
      <c r="S2466" s="11"/>
      <c r="T2466" s="11"/>
      <c r="U2466" s="10" t="str">
        <f>HYPERLINK("https://pbs.twimg.com/profile_images/712646560669167616/rfNZjhdm.jpg","View")</f>
        <v>View</v>
      </c>
    </row>
    <row r="2467" spans="1:21" ht="30.6">
      <c r="A2467" s="6">
        <v>43424.192650462966</v>
      </c>
      <c r="B2467" s="7" t="str">
        <f>HYPERLINK("https://twitter.com/el54mac","@el54mac")</f>
        <v>@el54mac</v>
      </c>
      <c r="C2467" s="8" t="s">
        <v>8540</v>
      </c>
      <c r="D2467" s="9" t="s">
        <v>8541</v>
      </c>
      <c r="E2467" s="10" t="str">
        <f>HYPERLINK("https://twitter.com/el54mac/status/1064860264930131968","1064860264930131968")</f>
        <v>1064860264930131968</v>
      </c>
      <c r="F2467" s="11"/>
      <c r="G2467" s="11"/>
      <c r="H2467" s="11"/>
      <c r="I2467" s="12">
        <v>0</v>
      </c>
      <c r="J2467" s="12">
        <v>1</v>
      </c>
      <c r="K2467" s="13" t="str">
        <f>HYPERLINK("http://twitter.com/download/android","Twitter for Android")</f>
        <v>Twitter for Android</v>
      </c>
      <c r="L2467" s="12">
        <v>117</v>
      </c>
      <c r="M2467" s="12">
        <v>1</v>
      </c>
      <c r="N2467" s="12">
        <v>3</v>
      </c>
      <c r="O2467" s="15"/>
      <c r="P2467" s="6">
        <v>41288.512303240743</v>
      </c>
      <c r="Q2467" s="16" t="s">
        <v>7116</v>
      </c>
      <c r="R2467" s="17" t="s">
        <v>8542</v>
      </c>
      <c r="S2467" s="11"/>
      <c r="T2467" s="11"/>
      <c r="U2467" s="10" t="str">
        <f>HYPERLINK("https://pbs.twimg.com/profile_images/1007666871703924741/O2N1qgsZ.jpg","View")</f>
        <v>View</v>
      </c>
    </row>
    <row r="2468" spans="1:21" ht="30.6">
      <c r="A2468" s="6">
        <v>43424.19259259259</v>
      </c>
      <c r="B2468" s="7" t="str">
        <f>HYPERLINK("https://twitter.com/TeresaN511","@TeresaN511")</f>
        <v>@TeresaN511</v>
      </c>
      <c r="C2468" s="8" t="s">
        <v>548</v>
      </c>
      <c r="D2468" s="9" t="s">
        <v>8543</v>
      </c>
      <c r="E2468" s="10" t="str">
        <f>HYPERLINK("https://twitter.com/TeresaN511/status/1064860243677667328","1064860243677667328")</f>
        <v>1064860243677667328</v>
      </c>
      <c r="F2468" s="14" t="s">
        <v>8544</v>
      </c>
      <c r="G2468" s="14" t="s">
        <v>5590</v>
      </c>
      <c r="H2468" s="11"/>
      <c r="I2468" s="12">
        <v>0</v>
      </c>
      <c r="J2468" s="12">
        <v>0</v>
      </c>
      <c r="K2468" s="13" t="str">
        <f>HYPERLINK("https://ifttt.com","IFTTT")</f>
        <v>IFTTT</v>
      </c>
      <c r="L2468" s="12">
        <v>22</v>
      </c>
      <c r="M2468" s="12">
        <v>13</v>
      </c>
      <c r="N2468" s="12">
        <v>2</v>
      </c>
      <c r="O2468" s="15"/>
      <c r="P2468" s="6">
        <v>42736.200069444443</v>
      </c>
      <c r="Q2468" s="11"/>
      <c r="R2468" s="17" t="s">
        <v>554</v>
      </c>
      <c r="S2468" s="11"/>
      <c r="T2468" s="11"/>
      <c r="U2468" s="10" t="str">
        <f>HYPERLINK("https://pbs.twimg.com/profile_images/819116744342114304/ytQFaOmN.jpg","View")</f>
        <v>View</v>
      </c>
    </row>
    <row r="2469" spans="1:21" ht="61.2">
      <c r="A2469" s="6">
        <v>43424.192384259259</v>
      </c>
      <c r="B2469" s="7" t="str">
        <f>HYPERLINK("https://twitter.com/OdJordi","@OdJordi")</f>
        <v>@OdJordi</v>
      </c>
      <c r="C2469" s="8" t="s">
        <v>5563</v>
      </c>
      <c r="D2469" s="9" t="s">
        <v>5588</v>
      </c>
      <c r="E2469" s="10" t="str">
        <f>HYPERLINK("https://twitter.com/OdJordi/status/1064860164854034432","1064860164854034432")</f>
        <v>1064860164854034432</v>
      </c>
      <c r="F2469" s="16" t="s">
        <v>5589</v>
      </c>
      <c r="G2469" s="14" t="s">
        <v>5590</v>
      </c>
      <c r="H2469" s="11"/>
      <c r="I2469" s="12">
        <v>0</v>
      </c>
      <c r="J2469" s="12">
        <v>0</v>
      </c>
      <c r="K2469" s="13" t="str">
        <f>HYPERLINK("http://twitter.com","Twitter Web Client")</f>
        <v>Twitter Web Client</v>
      </c>
      <c r="L2469" s="12">
        <v>125</v>
      </c>
      <c r="M2469" s="12">
        <v>315</v>
      </c>
      <c r="N2469" s="12">
        <v>1</v>
      </c>
      <c r="O2469" s="15"/>
      <c r="P2469" s="6">
        <v>43364.409398148149</v>
      </c>
      <c r="Q2469" s="16" t="s">
        <v>5566</v>
      </c>
      <c r="R2469" s="17" t="s">
        <v>5567</v>
      </c>
      <c r="S2469" s="11"/>
      <c r="T2469" s="11"/>
      <c r="U2469" s="10" t="str">
        <f>HYPERLINK("https://pbs.twimg.com/profile_images/1051850895523278848/MJfJWY0y.jpg","View")</f>
        <v>View</v>
      </c>
    </row>
    <row r="2470" spans="1:21" ht="30.6">
      <c r="A2470" s="6">
        <v>43424.192280092597</v>
      </c>
      <c r="B2470" s="7" t="str">
        <f>HYPERLINK("https://twitter.com/Pelayo9696","@Pelayo9696")</f>
        <v>@Pelayo9696</v>
      </c>
      <c r="C2470" s="8" t="s">
        <v>8545</v>
      </c>
      <c r="D2470" s="9" t="s">
        <v>8546</v>
      </c>
      <c r="E2470" s="10" t="str">
        <f>HYPERLINK("https://twitter.com/Pelayo9696/status/1064860128275558401","1064860128275558401")</f>
        <v>1064860128275558401</v>
      </c>
      <c r="F2470" s="11"/>
      <c r="G2470" s="11"/>
      <c r="H2470" s="11"/>
      <c r="I2470" s="12">
        <v>1</v>
      </c>
      <c r="J2470" s="12">
        <v>1</v>
      </c>
      <c r="K2470" s="13" t="str">
        <f t="shared" ref="K2470:K2472" si="506">HYPERLINK("http://twitter.com/download/iphone","Twitter for iPhone")</f>
        <v>Twitter for iPhone</v>
      </c>
      <c r="L2470" s="12">
        <v>170</v>
      </c>
      <c r="M2470" s="12">
        <v>166</v>
      </c>
      <c r="N2470" s="12">
        <v>3</v>
      </c>
      <c r="O2470" s="15"/>
      <c r="P2470" s="6">
        <v>41011.617175925923</v>
      </c>
      <c r="Q2470" s="16" t="s">
        <v>87</v>
      </c>
      <c r="R2470" s="17" t="s">
        <v>8547</v>
      </c>
      <c r="S2470" s="11"/>
      <c r="T2470" s="11"/>
      <c r="U2470" s="10" t="str">
        <f>HYPERLINK("https://pbs.twimg.com/profile_images/1041788854469111810/ugELkBRe.jpg","View")</f>
        <v>View</v>
      </c>
    </row>
    <row r="2471" spans="1:21" ht="40.799999999999997">
      <c r="A2471" s="6">
        <v>43424.191574074073</v>
      </c>
      <c r="B2471" s="7" t="str">
        <f>HYPERLINK("https://twitter.com/LGallifantes","@LGallifantes")</f>
        <v>@LGallifantes</v>
      </c>
      <c r="C2471" s="8" t="s">
        <v>8548</v>
      </c>
      <c r="D2471" s="9" t="s">
        <v>8549</v>
      </c>
      <c r="E2471" s="10" t="str">
        <f>HYPERLINK("https://twitter.com/LGallifantes/status/1064859872599179264","1064859872599179264")</f>
        <v>1064859872599179264</v>
      </c>
      <c r="F2471" s="11"/>
      <c r="G2471" s="11"/>
      <c r="H2471" s="11"/>
      <c r="I2471" s="12">
        <v>1</v>
      </c>
      <c r="J2471" s="12">
        <v>1</v>
      </c>
      <c r="K2471" s="13" t="str">
        <f t="shared" si="506"/>
        <v>Twitter for iPhone</v>
      </c>
      <c r="L2471" s="12">
        <v>205</v>
      </c>
      <c r="M2471" s="12">
        <v>366</v>
      </c>
      <c r="N2471" s="12">
        <v>0</v>
      </c>
      <c r="O2471" s="15"/>
      <c r="P2471" s="6">
        <v>43313.215555555551</v>
      </c>
      <c r="Q2471" s="11"/>
      <c r="R2471" s="17" t="s">
        <v>8550</v>
      </c>
      <c r="S2471" s="11"/>
      <c r="T2471" s="11"/>
      <c r="U2471" s="10" t="str">
        <f>HYPERLINK("https://pbs.twimg.com/profile_images/1024628867414278144/0b6J4lCS.jpg","View")</f>
        <v>View</v>
      </c>
    </row>
    <row r="2472" spans="1:21" ht="13.2">
      <c r="A2472" s="6">
        <v>43424.19153935185</v>
      </c>
      <c r="B2472" s="7" t="str">
        <f>HYPERLINK("https://twitter.com/MyguelonHipnoxx","@MyguelonHipnoxx")</f>
        <v>@MyguelonHipnoxx</v>
      </c>
      <c r="C2472" s="8" t="s">
        <v>8551</v>
      </c>
      <c r="D2472" s="9" t="s">
        <v>8552</v>
      </c>
      <c r="E2472" s="10" t="str">
        <f>HYPERLINK("https://twitter.com/MyguelonHipnoxx/status/1064859860154630144","1064859860154630144")</f>
        <v>1064859860154630144</v>
      </c>
      <c r="F2472" s="14" t="s">
        <v>8553</v>
      </c>
      <c r="G2472" s="11"/>
      <c r="H2472" s="11"/>
      <c r="I2472" s="12">
        <v>0</v>
      </c>
      <c r="J2472" s="12">
        <v>0</v>
      </c>
      <c r="K2472" s="13" t="str">
        <f t="shared" si="506"/>
        <v>Twitter for iPhone</v>
      </c>
      <c r="L2472" s="12">
        <v>754</v>
      </c>
      <c r="M2472" s="12">
        <v>912</v>
      </c>
      <c r="N2472" s="12">
        <v>1</v>
      </c>
      <c r="O2472" s="15"/>
      <c r="P2472" s="6">
        <v>42437.059004629627</v>
      </c>
      <c r="Q2472" s="16" t="s">
        <v>8554</v>
      </c>
      <c r="R2472" s="17" t="s">
        <v>8555</v>
      </c>
      <c r="S2472" s="14" t="s">
        <v>8556</v>
      </c>
      <c r="T2472" s="11"/>
      <c r="U2472" s="10" t="str">
        <f>HYPERLINK("https://pbs.twimg.com/profile_images/730081281346809856/PCTk3N9C.jpg","View")</f>
        <v>View</v>
      </c>
    </row>
    <row r="2473" spans="1:21" ht="30.6">
      <c r="A2473" s="6">
        <v>43424.191145833334</v>
      </c>
      <c r="B2473" s="7" t="str">
        <f>HYPERLINK("https://twitter.com/yayaatletica","@yayaatletica")</f>
        <v>@yayaatletica</v>
      </c>
      <c r="C2473" s="8" t="s">
        <v>8557</v>
      </c>
      <c r="D2473" s="9" t="s">
        <v>8558</v>
      </c>
      <c r="E2473" s="10" t="str">
        <f>HYPERLINK("https://twitter.com/yayaatletica/status/1064859715883147264","1064859715883147264")</f>
        <v>1064859715883147264</v>
      </c>
      <c r="F2473" s="11"/>
      <c r="G2473" s="11"/>
      <c r="H2473" s="11"/>
      <c r="I2473" s="12">
        <v>0</v>
      </c>
      <c r="J2473" s="12">
        <v>1</v>
      </c>
      <c r="K2473" s="13" t="str">
        <f>HYPERLINK("http://twitter.com/#!/download/ipad","Twitter for iPad")</f>
        <v>Twitter for iPad</v>
      </c>
      <c r="L2473" s="12">
        <v>30</v>
      </c>
      <c r="M2473" s="12">
        <v>246</v>
      </c>
      <c r="N2473" s="12">
        <v>1</v>
      </c>
      <c r="O2473" s="15"/>
      <c r="P2473" s="6">
        <v>41715.441134259258</v>
      </c>
      <c r="Q2473" s="11"/>
      <c r="R2473" s="19"/>
      <c r="S2473" s="11"/>
      <c r="T2473" s="11"/>
      <c r="U2473" s="18" t="s">
        <v>168</v>
      </c>
    </row>
    <row r="2474" spans="1:21" ht="91.8">
      <c r="A2474" s="6">
        <v>43424.190567129626</v>
      </c>
      <c r="B2474" s="7" t="str">
        <f>HYPERLINK("https://twitter.com/Coord_Andaluza","@Coord_Andaluza")</f>
        <v>@Coord_Andaluza</v>
      </c>
      <c r="C2474" s="8" t="s">
        <v>5591</v>
      </c>
      <c r="D2474" s="9" t="s">
        <v>5592</v>
      </c>
      <c r="E2474" s="10" t="str">
        <f>HYPERLINK("https://twitter.com/Coord_Andaluza/status/1064859507132637184","1064859507132637184")</f>
        <v>1064859507132637184</v>
      </c>
      <c r="F2474" s="16" t="s">
        <v>5593</v>
      </c>
      <c r="G2474" s="14" t="s">
        <v>5594</v>
      </c>
      <c r="H2474" s="11"/>
      <c r="I2474" s="12">
        <v>27</v>
      </c>
      <c r="J2474" s="12">
        <v>10</v>
      </c>
      <c r="K2474" s="13" t="str">
        <f>HYPERLINK("http://twitter.com/download/android","Twitter for Android")</f>
        <v>Twitter for Android</v>
      </c>
      <c r="L2474" s="12">
        <v>1103</v>
      </c>
      <c r="M2474" s="12">
        <v>403</v>
      </c>
      <c r="N2474" s="12">
        <v>40</v>
      </c>
      <c r="O2474" s="15"/>
      <c r="P2474" s="6">
        <v>42310.982974537037</v>
      </c>
      <c r="Q2474" s="11"/>
      <c r="R2474" s="17" t="s">
        <v>5595</v>
      </c>
      <c r="S2474" s="11"/>
      <c r="T2474" s="11"/>
      <c r="U2474" s="10" t="str">
        <f>HYPERLINK("https://pbs.twimg.com/profile_images/934936010416443392/19CBQqtR.jpg","View")</f>
        <v>View</v>
      </c>
    </row>
    <row r="2475" spans="1:21" ht="30.6">
      <c r="A2475" s="6">
        <v>43424.190555555557</v>
      </c>
      <c r="B2475" s="7" t="str">
        <f>HYPERLINK("https://twitter.com/DebatAlRojoVivo","@DebatAlRojoVivo")</f>
        <v>@DebatAlRojoVivo</v>
      </c>
      <c r="C2475" s="8" t="s">
        <v>563</v>
      </c>
      <c r="D2475" s="9" t="s">
        <v>8543</v>
      </c>
      <c r="E2475" s="10" t="str">
        <f>HYPERLINK("https://twitter.com/DebatAlRojoVivo/status/1064859503668207617","1064859503668207617")</f>
        <v>1064859503668207617</v>
      </c>
      <c r="F2475" s="14" t="s">
        <v>8544</v>
      </c>
      <c r="G2475" s="14" t="s">
        <v>5590</v>
      </c>
      <c r="H2475" s="11"/>
      <c r="I2475" s="12">
        <v>6</v>
      </c>
      <c r="J2475" s="12">
        <v>13</v>
      </c>
      <c r="K2475" s="13" t="str">
        <f>HYPERLINK("http://dogtrack.es","DogTrack_Oficial")</f>
        <v>DogTrack_Oficial</v>
      </c>
      <c r="L2475" s="12">
        <v>484474</v>
      </c>
      <c r="M2475" s="12">
        <v>279</v>
      </c>
      <c r="N2475" s="12">
        <v>2909</v>
      </c>
      <c r="O2475" s="18" t="s">
        <v>52</v>
      </c>
      <c r="P2475" s="6">
        <v>40555.49763888889</v>
      </c>
      <c r="Q2475" s="11"/>
      <c r="R2475" s="17" t="s">
        <v>567</v>
      </c>
      <c r="S2475" s="14" t="s">
        <v>568</v>
      </c>
      <c r="T2475" s="11"/>
      <c r="U2475" s="10" t="str">
        <f>HYPERLINK("https://pbs.twimg.com/profile_images/1063014308857237504/GEyVz5-l.jpg","View")</f>
        <v>View</v>
      </c>
    </row>
    <row r="2476" spans="1:21" ht="40.799999999999997">
      <c r="A2476" s="6">
        <v>43424.19049768518</v>
      </c>
      <c r="B2476" s="7" t="str">
        <f>HYPERLINK("https://twitter.com/JYA12","@JYA12")</f>
        <v>@JYA12</v>
      </c>
      <c r="C2476" s="8" t="s">
        <v>8531</v>
      </c>
      <c r="D2476" s="9" t="s">
        <v>8559</v>
      </c>
      <c r="E2476" s="10" t="str">
        <f>HYPERLINK("https://twitter.com/JYA12/status/1064859481505443840","1064859481505443840")</f>
        <v>1064859481505443840</v>
      </c>
      <c r="F2476" s="11"/>
      <c r="G2476" s="11"/>
      <c r="H2476" s="11"/>
      <c r="I2476" s="12">
        <v>0</v>
      </c>
      <c r="J2476" s="12">
        <v>1</v>
      </c>
      <c r="K2476" s="13" t="str">
        <f t="shared" ref="K2476:K2477" si="507">HYPERLINK("http://twitter.com","Twitter Web Client")</f>
        <v>Twitter Web Client</v>
      </c>
      <c r="L2476" s="12">
        <v>775</v>
      </c>
      <c r="M2476" s="12">
        <v>802</v>
      </c>
      <c r="N2476" s="12">
        <v>22</v>
      </c>
      <c r="O2476" s="15"/>
      <c r="P2476" s="6">
        <v>40948.546979166669</v>
      </c>
      <c r="Q2476" s="11"/>
      <c r="R2476" s="17" t="s">
        <v>8533</v>
      </c>
      <c r="S2476" s="11"/>
      <c r="T2476" s="11"/>
      <c r="U2476" s="10" t="str">
        <f>HYPERLINK("https://pbs.twimg.com/profile_images/767773039559933953/xTAlJVSq.jpg","View")</f>
        <v>View</v>
      </c>
    </row>
    <row r="2477" spans="1:21" ht="20.399999999999999">
      <c r="A2477" s="6">
        <v>43424.190428240741</v>
      </c>
      <c r="B2477" s="7" t="str">
        <f>HYPERLINK("https://twitter.com/VdeVendetta","@VdeVendetta")</f>
        <v>@VdeVendetta</v>
      </c>
      <c r="C2477" s="8" t="s">
        <v>8560</v>
      </c>
      <c r="D2477" s="9" t="s">
        <v>8561</v>
      </c>
      <c r="E2477" s="10" t="str">
        <f>HYPERLINK("https://twitter.com/VdeVendetta/status/1064859456490651648","1064859456490651648")</f>
        <v>1064859456490651648</v>
      </c>
      <c r="F2477" s="11"/>
      <c r="G2477" s="11"/>
      <c r="H2477" s="11"/>
      <c r="I2477" s="12">
        <v>0</v>
      </c>
      <c r="J2477" s="12">
        <v>0</v>
      </c>
      <c r="K2477" s="13" t="str">
        <f t="shared" si="507"/>
        <v>Twitter Web Client</v>
      </c>
      <c r="L2477" s="12">
        <v>1526</v>
      </c>
      <c r="M2477" s="12">
        <v>333</v>
      </c>
      <c r="N2477" s="12">
        <v>60</v>
      </c>
      <c r="O2477" s="15"/>
      <c r="P2477" s="6">
        <v>39786.671597222223</v>
      </c>
      <c r="Q2477" s="16" t="s">
        <v>8562</v>
      </c>
      <c r="R2477" s="17" t="s">
        <v>8563</v>
      </c>
      <c r="S2477" s="11"/>
      <c r="T2477" s="11"/>
      <c r="U2477" s="10" t="str">
        <f>HYPERLINK("https://pbs.twimg.com/profile_images/1011713464551858177/p-C4vuRv.jpg","View")</f>
        <v>View</v>
      </c>
    </row>
    <row r="2478" spans="1:21" ht="13.2">
      <c r="A2478" s="6">
        <v>43424.19027777778</v>
      </c>
      <c r="B2478" s="7" t="str">
        <f>HYPERLINK("https://twitter.com/VictoriAndres1","@VictoriAndres1")</f>
        <v>@VictoriAndres1</v>
      </c>
      <c r="C2478" s="8" t="s">
        <v>33</v>
      </c>
      <c r="D2478" s="9" t="s">
        <v>8564</v>
      </c>
      <c r="E2478" s="10" t="str">
        <f>HYPERLINK("https://twitter.com/VictoriAndres1/status/1064859403336237058","1064859403336237058")</f>
        <v>1064859403336237058</v>
      </c>
      <c r="F2478" s="11"/>
      <c r="G2478" s="11"/>
      <c r="H2478" s="11"/>
      <c r="I2478" s="12">
        <v>0</v>
      </c>
      <c r="J2478" s="12">
        <v>0</v>
      </c>
      <c r="K2478" s="13" t="str">
        <f>HYPERLINK("http://www.facebook.com/twitter","Facebook")</f>
        <v>Facebook</v>
      </c>
      <c r="L2478" s="12">
        <v>196</v>
      </c>
      <c r="M2478" s="12">
        <v>292</v>
      </c>
      <c r="N2478" s="12">
        <v>1</v>
      </c>
      <c r="O2478" s="15"/>
      <c r="P2478" s="6">
        <v>40992.087916666671</v>
      </c>
      <c r="Q2478" s="16" t="s">
        <v>38</v>
      </c>
      <c r="R2478" s="17" t="s">
        <v>40</v>
      </c>
      <c r="S2478" s="14" t="s">
        <v>41</v>
      </c>
      <c r="T2478" s="11"/>
      <c r="U2478" s="10" t="str">
        <f>HYPERLINK("https://pbs.twimg.com/profile_images/1018850373476454400/___hRpp7.jpg","View")</f>
        <v>View</v>
      </c>
    </row>
    <row r="2479" spans="1:21" ht="13.2">
      <c r="A2479" s="23"/>
      <c r="B2479" s="24"/>
      <c r="C2479" s="24"/>
      <c r="D2479" s="25"/>
      <c r="E2479" s="15"/>
      <c r="F2479" s="11"/>
      <c r="G2479" s="11"/>
      <c r="H2479" s="11"/>
      <c r="I2479" s="15"/>
      <c r="J2479" s="15"/>
      <c r="K2479" s="11"/>
      <c r="L2479" s="15"/>
      <c r="M2479" s="15"/>
      <c r="N2479" s="15"/>
      <c r="O2479" s="15"/>
      <c r="P2479" s="23"/>
      <c r="Q2479" s="11"/>
      <c r="R2479" s="19"/>
      <c r="S2479" s="11"/>
      <c r="T2479" s="11"/>
      <c r="U2479" s="15"/>
    </row>
    <row r="2480" spans="1:21" ht="13.2">
      <c r="A2480" s="26"/>
      <c r="B2480" s="24"/>
      <c r="C2480" s="24"/>
      <c r="D2480" s="25"/>
      <c r="E2480" s="15"/>
      <c r="F2480" s="15"/>
      <c r="G2480" s="15"/>
      <c r="H2480" s="15"/>
      <c r="I2480" s="15"/>
      <c r="J2480" s="15"/>
      <c r="K2480" s="15"/>
      <c r="L2480" s="15"/>
      <c r="M2480" s="15"/>
      <c r="N2480" s="15"/>
      <c r="O2480" s="15"/>
      <c r="P2480" s="15"/>
      <c r="Q2480" s="11"/>
      <c r="R2480" s="19"/>
      <c r="S2480" s="15"/>
      <c r="T2480" s="15"/>
      <c r="U2480" s="15"/>
    </row>
    <row r="2481" spans="1:21" ht="13.2">
      <c r="A2481" s="26"/>
      <c r="B2481" s="24"/>
      <c r="C2481" s="24"/>
      <c r="D2481" s="25"/>
      <c r="E2481" s="15"/>
      <c r="F2481" s="15"/>
      <c r="G2481" s="15"/>
      <c r="H2481" s="15"/>
      <c r="I2481" s="15"/>
      <c r="J2481" s="15"/>
      <c r="K2481" s="15"/>
      <c r="L2481" s="15"/>
      <c r="M2481" s="15"/>
      <c r="N2481" s="15"/>
      <c r="O2481" s="15"/>
      <c r="P2481" s="15"/>
      <c r="Q2481" s="11"/>
      <c r="R2481" s="19"/>
      <c r="S2481" s="15"/>
      <c r="T2481" s="15"/>
      <c r="U2481" s="15"/>
    </row>
    <row r="2482" spans="1:21" ht="13.2">
      <c r="A2482" s="26"/>
      <c r="B2482" s="24"/>
      <c r="C2482" s="24"/>
      <c r="D2482" s="25"/>
      <c r="E2482" s="15"/>
      <c r="F2482" s="15"/>
      <c r="G2482" s="15"/>
      <c r="H2482" s="15"/>
      <c r="I2482" s="15"/>
      <c r="J2482" s="15"/>
      <c r="K2482" s="15"/>
      <c r="L2482" s="15"/>
      <c r="M2482" s="15"/>
      <c r="N2482" s="15"/>
      <c r="O2482" s="15"/>
      <c r="P2482" s="15"/>
      <c r="Q2482" s="11"/>
      <c r="R2482" s="19"/>
      <c r="S2482" s="15"/>
      <c r="T2482" s="15"/>
      <c r="U2482" s="15"/>
    </row>
    <row r="2483" spans="1:21" ht="13.2">
      <c r="A2483" s="26"/>
      <c r="B2483" s="24"/>
      <c r="C2483" s="24"/>
      <c r="D2483" s="25"/>
      <c r="E2483" s="15"/>
      <c r="F2483" s="15"/>
      <c r="G2483" s="15"/>
      <c r="H2483" s="15"/>
      <c r="I2483" s="15"/>
      <c r="J2483" s="15"/>
      <c r="K2483" s="15"/>
      <c r="L2483" s="15"/>
      <c r="M2483" s="15"/>
      <c r="N2483" s="15"/>
      <c r="O2483" s="15"/>
      <c r="P2483" s="15"/>
      <c r="Q2483" s="11"/>
      <c r="R2483" s="19"/>
      <c r="S2483" s="15"/>
      <c r="T2483" s="15"/>
      <c r="U2483" s="15"/>
    </row>
    <row r="2484" spans="1:21" ht="13.2">
      <c r="A2484" s="26"/>
      <c r="B2484" s="24"/>
      <c r="C2484" s="24"/>
      <c r="D2484" s="25"/>
      <c r="E2484" s="15"/>
      <c r="F2484" s="15"/>
      <c r="G2484" s="15"/>
      <c r="H2484" s="15"/>
      <c r="I2484" s="15"/>
      <c r="J2484" s="15"/>
      <c r="K2484" s="15"/>
      <c r="L2484" s="15"/>
      <c r="M2484" s="15"/>
      <c r="N2484" s="15"/>
      <c r="O2484" s="15"/>
      <c r="P2484" s="15"/>
      <c r="Q2484" s="11"/>
      <c r="R2484" s="19"/>
      <c r="S2484" s="15"/>
      <c r="T2484" s="15"/>
      <c r="U2484" s="15"/>
    </row>
    <row r="2485" spans="1:21" ht="13.2">
      <c r="A2485" s="26"/>
      <c r="B2485" s="24"/>
      <c r="C2485" s="24"/>
      <c r="D2485" s="25"/>
      <c r="E2485" s="15"/>
      <c r="F2485" s="15"/>
      <c r="G2485" s="15"/>
      <c r="H2485" s="15"/>
      <c r="I2485" s="15"/>
      <c r="J2485" s="15"/>
      <c r="K2485" s="15"/>
      <c r="L2485" s="15"/>
      <c r="M2485" s="15"/>
      <c r="N2485" s="15"/>
      <c r="O2485" s="15"/>
      <c r="P2485" s="15"/>
      <c r="Q2485" s="11"/>
      <c r="R2485" s="19"/>
      <c r="S2485" s="15"/>
      <c r="T2485" s="15"/>
      <c r="U2485" s="15"/>
    </row>
    <row r="2486" spans="1:21" ht="13.2">
      <c r="A2486" s="18"/>
      <c r="B2486" s="24"/>
      <c r="C2486" s="24"/>
      <c r="D2486" s="25"/>
      <c r="E2486" s="15"/>
      <c r="F2486" s="15"/>
      <c r="G2486" s="15"/>
      <c r="H2486" s="15"/>
      <c r="I2486" s="15"/>
      <c r="J2486" s="15"/>
      <c r="K2486" s="15"/>
      <c r="L2486" s="15"/>
      <c r="M2486" s="15"/>
      <c r="N2486" s="15"/>
      <c r="O2486" s="15"/>
      <c r="P2486" s="15"/>
      <c r="Q2486" s="11"/>
      <c r="R2486" s="19"/>
      <c r="S2486" s="15"/>
      <c r="T2486" s="15"/>
      <c r="U2486" s="15"/>
    </row>
    <row r="2487" spans="1:21" ht="13.2">
      <c r="A2487" s="26"/>
      <c r="B2487" s="24"/>
      <c r="C2487" s="24"/>
      <c r="D2487" s="25"/>
      <c r="E2487" s="15"/>
      <c r="F2487" s="15"/>
      <c r="G2487" s="15"/>
      <c r="H2487" s="15"/>
      <c r="I2487" s="15"/>
      <c r="J2487" s="15"/>
      <c r="K2487" s="15"/>
      <c r="L2487" s="15"/>
      <c r="M2487" s="15"/>
      <c r="N2487" s="15"/>
      <c r="O2487" s="15"/>
      <c r="P2487" s="15"/>
      <c r="Q2487" s="11"/>
      <c r="R2487" s="19"/>
      <c r="S2487" s="15"/>
      <c r="T2487" s="15"/>
      <c r="U2487" s="15"/>
    </row>
    <row r="2488" spans="1:21" ht="13.2">
      <c r="A2488" s="26"/>
      <c r="B2488" s="24"/>
      <c r="C2488" s="24"/>
      <c r="D2488" s="25"/>
      <c r="E2488" s="15"/>
      <c r="F2488" s="15"/>
      <c r="G2488" s="15"/>
      <c r="H2488" s="15"/>
      <c r="I2488" s="15"/>
      <c r="J2488" s="15"/>
      <c r="K2488" s="15"/>
      <c r="L2488" s="15"/>
      <c r="M2488" s="15"/>
      <c r="N2488" s="15"/>
      <c r="O2488" s="15"/>
      <c r="P2488" s="15"/>
      <c r="Q2488" s="11"/>
      <c r="R2488" s="19"/>
      <c r="S2488" s="15"/>
      <c r="T2488" s="15"/>
      <c r="U2488" s="15"/>
    </row>
    <row r="2489" spans="1:21" ht="13.2">
      <c r="A2489" s="26"/>
      <c r="B2489" s="24"/>
      <c r="C2489" s="24"/>
      <c r="D2489" s="25"/>
      <c r="E2489" s="15"/>
      <c r="F2489" s="15"/>
      <c r="G2489" s="15"/>
      <c r="H2489" s="15"/>
      <c r="I2489" s="15"/>
      <c r="J2489" s="15"/>
      <c r="K2489" s="15"/>
      <c r="L2489" s="15"/>
      <c r="M2489" s="15"/>
      <c r="N2489" s="15"/>
      <c r="O2489" s="15"/>
      <c r="P2489" s="15"/>
      <c r="Q2489" s="11"/>
      <c r="R2489" s="19"/>
      <c r="S2489" s="15"/>
      <c r="T2489" s="15"/>
      <c r="U2489" s="15"/>
    </row>
    <row r="2490" spans="1:21" ht="13.2">
      <c r="A2490" s="26"/>
      <c r="B2490" s="24"/>
      <c r="C2490" s="24"/>
      <c r="D2490" s="25"/>
      <c r="E2490" s="15"/>
      <c r="F2490" s="15"/>
      <c r="G2490" s="15"/>
      <c r="H2490" s="15"/>
      <c r="I2490" s="15"/>
      <c r="J2490" s="15"/>
      <c r="K2490" s="15"/>
      <c r="L2490" s="15"/>
      <c r="M2490" s="15"/>
      <c r="N2490" s="15"/>
      <c r="O2490" s="15"/>
      <c r="P2490" s="15"/>
      <c r="Q2490" s="11"/>
      <c r="R2490" s="19"/>
      <c r="S2490" s="15"/>
      <c r="T2490" s="15"/>
      <c r="U2490" s="15"/>
    </row>
    <row r="2491" spans="1:21" ht="13.2">
      <c r="A2491" s="26"/>
      <c r="B2491" s="24"/>
      <c r="C2491" s="24"/>
      <c r="D2491" s="25"/>
      <c r="E2491" s="15"/>
      <c r="F2491" s="15"/>
      <c r="G2491" s="15"/>
      <c r="H2491" s="15"/>
      <c r="I2491" s="15"/>
      <c r="J2491" s="15"/>
      <c r="K2491" s="15"/>
      <c r="L2491" s="15"/>
      <c r="M2491" s="15"/>
      <c r="N2491" s="15"/>
      <c r="O2491" s="15"/>
      <c r="P2491" s="15"/>
      <c r="Q2491" s="11"/>
      <c r="R2491" s="19"/>
      <c r="S2491" s="15"/>
      <c r="T2491" s="15"/>
      <c r="U2491" s="15"/>
    </row>
    <row r="2492" spans="1:21" ht="13.2">
      <c r="A2492" s="26"/>
      <c r="B2492" s="24"/>
      <c r="C2492" s="24"/>
      <c r="D2492" s="25"/>
      <c r="E2492" s="15"/>
      <c r="F2492" s="15"/>
      <c r="G2492" s="15"/>
      <c r="H2492" s="15"/>
      <c r="I2492" s="15"/>
      <c r="J2492" s="15"/>
      <c r="K2492" s="15"/>
      <c r="L2492" s="15"/>
      <c r="M2492" s="15"/>
      <c r="N2492" s="15"/>
      <c r="O2492" s="15"/>
      <c r="P2492" s="15"/>
      <c r="Q2492" s="11"/>
      <c r="R2492" s="19"/>
      <c r="S2492" s="15"/>
      <c r="T2492" s="15"/>
      <c r="U2492" s="15"/>
    </row>
    <row r="2493" spans="1:21" ht="13.2">
      <c r="A2493" s="26"/>
      <c r="B2493" s="24"/>
      <c r="C2493" s="24"/>
      <c r="D2493" s="25"/>
      <c r="E2493" s="15"/>
      <c r="F2493" s="15"/>
      <c r="G2493" s="15"/>
      <c r="H2493" s="15"/>
      <c r="I2493" s="15"/>
      <c r="J2493" s="15"/>
      <c r="K2493" s="15"/>
      <c r="L2493" s="15"/>
      <c r="M2493" s="15"/>
      <c r="N2493" s="15"/>
      <c r="O2493" s="15"/>
      <c r="P2493" s="15"/>
      <c r="Q2493" s="11"/>
      <c r="R2493" s="19"/>
      <c r="S2493" s="15"/>
      <c r="T2493" s="15"/>
      <c r="U2493" s="15"/>
    </row>
    <row r="2494" spans="1:21" ht="13.2">
      <c r="A2494" s="26"/>
      <c r="B2494" s="24"/>
      <c r="C2494" s="24"/>
      <c r="D2494" s="25"/>
      <c r="E2494" s="15"/>
      <c r="F2494" s="15"/>
      <c r="G2494" s="15"/>
      <c r="H2494" s="15"/>
      <c r="I2494" s="15"/>
      <c r="J2494" s="15"/>
      <c r="K2494" s="15"/>
      <c r="L2494" s="15"/>
      <c r="M2494" s="15"/>
      <c r="N2494" s="15"/>
      <c r="O2494" s="15"/>
      <c r="P2494" s="15"/>
      <c r="Q2494" s="11"/>
      <c r="R2494" s="19"/>
      <c r="S2494" s="15"/>
      <c r="T2494" s="15"/>
      <c r="U2494" s="15"/>
    </row>
    <row r="2495" spans="1:21" ht="13.2">
      <c r="A2495" s="26"/>
      <c r="B2495" s="24"/>
      <c r="C2495" s="24"/>
      <c r="D2495" s="25"/>
      <c r="E2495" s="15"/>
      <c r="F2495" s="15"/>
      <c r="G2495" s="15"/>
      <c r="H2495" s="15"/>
      <c r="I2495" s="15"/>
      <c r="J2495" s="15"/>
      <c r="K2495" s="15"/>
      <c r="L2495" s="15"/>
      <c r="M2495" s="15"/>
      <c r="N2495" s="15"/>
      <c r="O2495" s="15"/>
      <c r="P2495" s="15"/>
      <c r="Q2495" s="11"/>
      <c r="R2495" s="19"/>
      <c r="S2495" s="15"/>
      <c r="T2495" s="15"/>
      <c r="U2495" s="15"/>
    </row>
    <row r="2496" spans="1:21" ht="13.2">
      <c r="A2496" s="26"/>
      <c r="B2496" s="24"/>
      <c r="C2496" s="24"/>
      <c r="D2496" s="25"/>
      <c r="E2496" s="15"/>
      <c r="F2496" s="15"/>
      <c r="G2496" s="15"/>
      <c r="H2496" s="15"/>
      <c r="I2496" s="15"/>
      <c r="J2496" s="15"/>
      <c r="K2496" s="15"/>
      <c r="L2496" s="15"/>
      <c r="M2496" s="15"/>
      <c r="N2496" s="15"/>
      <c r="O2496" s="15"/>
      <c r="P2496" s="15"/>
      <c r="Q2496" s="11"/>
      <c r="R2496" s="19"/>
      <c r="S2496" s="15"/>
      <c r="T2496" s="15"/>
      <c r="U2496" s="15"/>
    </row>
    <row r="2497" spans="1:21" ht="13.2">
      <c r="A2497" s="26"/>
      <c r="B2497" s="24"/>
      <c r="C2497" s="24"/>
      <c r="D2497" s="25"/>
      <c r="E2497" s="15"/>
      <c r="F2497" s="15"/>
      <c r="G2497" s="15"/>
      <c r="H2497" s="15"/>
      <c r="I2497" s="15"/>
      <c r="J2497" s="15"/>
      <c r="K2497" s="15"/>
      <c r="L2497" s="15"/>
      <c r="M2497" s="15"/>
      <c r="N2497" s="15"/>
      <c r="O2497" s="15"/>
      <c r="P2497" s="15"/>
      <c r="Q2497" s="11"/>
      <c r="R2497" s="19"/>
      <c r="S2497" s="15"/>
      <c r="T2497" s="15"/>
      <c r="U2497" s="15"/>
    </row>
    <row r="2498" spans="1:21" ht="13.2">
      <c r="A2498" s="26"/>
      <c r="B2498" s="24"/>
      <c r="C2498" s="24"/>
      <c r="D2498" s="25"/>
      <c r="E2498" s="15"/>
      <c r="F2498" s="15"/>
      <c r="G2498" s="15"/>
      <c r="H2498" s="15"/>
      <c r="I2498" s="15"/>
      <c r="J2498" s="15"/>
      <c r="K2498" s="15"/>
      <c r="L2498" s="15"/>
      <c r="M2498" s="15"/>
      <c r="N2498" s="15"/>
      <c r="O2498" s="15"/>
      <c r="P2498" s="15"/>
      <c r="Q2498" s="11"/>
      <c r="R2498" s="19"/>
      <c r="S2498" s="15"/>
      <c r="T2498" s="15"/>
      <c r="U2498" s="15"/>
    </row>
    <row r="2499" spans="1:21" ht="13.2">
      <c r="A2499" s="26"/>
      <c r="B2499" s="24"/>
      <c r="C2499" s="24"/>
      <c r="D2499" s="25"/>
      <c r="E2499" s="15"/>
      <c r="F2499" s="15"/>
      <c r="G2499" s="15"/>
      <c r="H2499" s="15"/>
      <c r="I2499" s="15"/>
      <c r="J2499" s="15"/>
      <c r="K2499" s="15"/>
      <c r="L2499" s="15"/>
      <c r="M2499" s="15"/>
      <c r="N2499" s="15"/>
      <c r="O2499" s="15"/>
      <c r="P2499" s="15"/>
      <c r="Q2499" s="11"/>
      <c r="R2499" s="19"/>
      <c r="S2499" s="15"/>
      <c r="T2499" s="15"/>
      <c r="U2499" s="15"/>
    </row>
    <row r="2500" spans="1:21" ht="13.2">
      <c r="A2500" s="26"/>
      <c r="B2500" s="24"/>
      <c r="C2500" s="24"/>
      <c r="D2500" s="25"/>
      <c r="E2500" s="15"/>
      <c r="F2500" s="15"/>
      <c r="G2500" s="15"/>
      <c r="H2500" s="15"/>
      <c r="I2500" s="15"/>
      <c r="J2500" s="15"/>
      <c r="K2500" s="15"/>
      <c r="L2500" s="15"/>
      <c r="M2500" s="15"/>
      <c r="N2500" s="15"/>
      <c r="O2500" s="15"/>
      <c r="P2500" s="15"/>
      <c r="Q2500" s="11"/>
      <c r="R2500" s="19"/>
      <c r="S2500" s="15"/>
      <c r="T2500" s="15"/>
      <c r="U2500" s="15"/>
    </row>
    <row r="2501" spans="1:21" ht="13.2">
      <c r="A2501" s="26"/>
      <c r="B2501" s="24"/>
      <c r="C2501" s="24"/>
      <c r="D2501" s="25"/>
      <c r="E2501" s="15"/>
      <c r="F2501" s="15"/>
      <c r="G2501" s="15"/>
      <c r="H2501" s="15"/>
      <c r="I2501" s="15"/>
      <c r="J2501" s="15"/>
      <c r="K2501" s="15"/>
      <c r="L2501" s="15"/>
      <c r="M2501" s="15"/>
      <c r="N2501" s="15"/>
      <c r="O2501" s="15"/>
      <c r="P2501" s="15"/>
      <c r="Q2501" s="11"/>
      <c r="R2501" s="19"/>
      <c r="S2501" s="15"/>
      <c r="T2501" s="15"/>
      <c r="U2501" s="15"/>
    </row>
  </sheetData>
  <mergeCells count="2">
    <mergeCell ref="A1:K1"/>
    <mergeCell ref="L1:U1"/>
  </mergeCells>
  <hyperlinks>
    <hyperlink ref="F4" r:id="rId1" xr:uid="{00000000-0004-0000-0200-000000000000}"/>
    <hyperlink ref="S4" r:id="rId2" xr:uid="{00000000-0004-0000-0200-000001000000}"/>
    <hyperlink ref="F6" r:id="rId3" xr:uid="{00000000-0004-0000-0200-000002000000}"/>
    <hyperlink ref="S6" r:id="rId4" xr:uid="{00000000-0004-0000-0200-000003000000}"/>
    <hyperlink ref="F7" r:id="rId5" xr:uid="{00000000-0004-0000-0200-000004000000}"/>
    <hyperlink ref="G7" r:id="rId6" xr:uid="{00000000-0004-0000-0200-000005000000}"/>
    <hyperlink ref="S7" r:id="rId7" xr:uid="{00000000-0004-0000-0200-000006000000}"/>
    <hyperlink ref="F8" r:id="rId8" xr:uid="{00000000-0004-0000-0200-000007000000}"/>
    <hyperlink ref="G8" r:id="rId9" xr:uid="{00000000-0004-0000-0200-000008000000}"/>
    <hyperlink ref="S8" r:id="rId10" xr:uid="{00000000-0004-0000-0200-000009000000}"/>
    <hyperlink ref="F9" r:id="rId11" xr:uid="{00000000-0004-0000-0200-00000A000000}"/>
    <hyperlink ref="S9" r:id="rId12" xr:uid="{00000000-0004-0000-0200-00000B000000}"/>
    <hyperlink ref="F10" r:id="rId13" xr:uid="{00000000-0004-0000-0200-00000C000000}"/>
    <hyperlink ref="S10" r:id="rId14" xr:uid="{00000000-0004-0000-0200-00000D000000}"/>
    <hyperlink ref="S11" r:id="rId15" xr:uid="{00000000-0004-0000-0200-00000E000000}"/>
    <hyperlink ref="G12" r:id="rId16" xr:uid="{00000000-0004-0000-0200-00000F000000}"/>
    <hyperlink ref="S12" r:id="rId17" xr:uid="{00000000-0004-0000-0200-000010000000}"/>
    <hyperlink ref="G14" r:id="rId18" xr:uid="{00000000-0004-0000-0200-000011000000}"/>
    <hyperlink ref="F15" r:id="rId19" xr:uid="{00000000-0004-0000-0200-000012000000}"/>
    <hyperlink ref="S15" r:id="rId20" xr:uid="{00000000-0004-0000-0200-000013000000}"/>
    <hyperlink ref="G16" r:id="rId21" xr:uid="{00000000-0004-0000-0200-000014000000}"/>
    <hyperlink ref="G18" r:id="rId22" xr:uid="{00000000-0004-0000-0200-000015000000}"/>
    <hyperlink ref="F19" r:id="rId23" xr:uid="{00000000-0004-0000-0200-000016000000}"/>
    <hyperlink ref="S19" r:id="rId24" xr:uid="{00000000-0004-0000-0200-000017000000}"/>
    <hyperlink ref="G20" r:id="rId25" xr:uid="{00000000-0004-0000-0200-000018000000}"/>
    <hyperlink ref="F22" r:id="rId26" xr:uid="{00000000-0004-0000-0200-000019000000}"/>
    <hyperlink ref="F23" r:id="rId27" xr:uid="{00000000-0004-0000-0200-00001A000000}"/>
    <hyperlink ref="G24" r:id="rId28" xr:uid="{00000000-0004-0000-0200-00001B000000}"/>
    <hyperlink ref="F26" r:id="rId29" xr:uid="{00000000-0004-0000-0200-00001C000000}"/>
    <hyperlink ref="S26" r:id="rId30" xr:uid="{00000000-0004-0000-0200-00001D000000}"/>
    <hyperlink ref="G27" r:id="rId31" xr:uid="{00000000-0004-0000-0200-00001E000000}"/>
    <hyperlink ref="S28" r:id="rId32" xr:uid="{00000000-0004-0000-0200-00001F000000}"/>
    <hyperlink ref="F31" r:id="rId33" xr:uid="{00000000-0004-0000-0200-000020000000}"/>
    <hyperlink ref="S31" r:id="rId34" xr:uid="{00000000-0004-0000-0200-000021000000}"/>
    <hyperlink ref="F32" r:id="rId35" xr:uid="{00000000-0004-0000-0200-000022000000}"/>
    <hyperlink ref="S32" r:id="rId36" xr:uid="{00000000-0004-0000-0200-000023000000}"/>
    <hyperlink ref="G33" r:id="rId37" xr:uid="{00000000-0004-0000-0200-000024000000}"/>
    <hyperlink ref="F34" r:id="rId38" location="referrer=https%3A%2F%2Fwww.google.com&amp;amp_tf=De%20%251%24s&amp;ampshare=https%3A%2F%2Fokdiario.com%2Fespana%2F2018%2F11%2F23%2Figlesias-califica-patriotismo-extrano-defender-soberania-gibraltar-3382790" xr:uid="{00000000-0004-0000-0200-000025000000}"/>
    <hyperlink ref="G35" r:id="rId39" xr:uid="{00000000-0004-0000-0200-000026000000}"/>
    <hyperlink ref="F38" r:id="rId40" location="at=7" xr:uid="{00000000-0004-0000-0200-000027000000}"/>
    <hyperlink ref="G38" r:id="rId41" xr:uid="{00000000-0004-0000-0200-000028000000}"/>
    <hyperlink ref="R38" r:id="rId42" xr:uid="{00000000-0004-0000-0200-000029000000}"/>
    <hyperlink ref="S38" r:id="rId43" xr:uid="{00000000-0004-0000-0200-00002A000000}"/>
    <hyperlink ref="F40" r:id="rId44" xr:uid="{00000000-0004-0000-0200-00002B000000}"/>
    <hyperlink ref="S40" r:id="rId45" xr:uid="{00000000-0004-0000-0200-00002C000000}"/>
    <hyperlink ref="G41" r:id="rId46" xr:uid="{00000000-0004-0000-0200-00002D000000}"/>
    <hyperlink ref="G42" r:id="rId47" xr:uid="{00000000-0004-0000-0200-00002E000000}"/>
    <hyperlink ref="F43" r:id="rId48" xr:uid="{00000000-0004-0000-0200-00002F000000}"/>
    <hyperlink ref="F45" r:id="rId49" xr:uid="{00000000-0004-0000-0200-000030000000}"/>
    <hyperlink ref="G46" r:id="rId50" xr:uid="{00000000-0004-0000-0200-000031000000}"/>
    <hyperlink ref="S46" r:id="rId51" xr:uid="{00000000-0004-0000-0200-000032000000}"/>
    <hyperlink ref="G47" r:id="rId52" xr:uid="{00000000-0004-0000-0200-000033000000}"/>
    <hyperlink ref="S47" r:id="rId53" xr:uid="{00000000-0004-0000-0200-000034000000}"/>
    <hyperlink ref="F48" r:id="rId54" location=".W_gGfMLdUBI.twitter" xr:uid="{00000000-0004-0000-0200-000035000000}"/>
    <hyperlink ref="F49" r:id="rId55" xr:uid="{00000000-0004-0000-0200-000036000000}"/>
    <hyperlink ref="S49" r:id="rId56" xr:uid="{00000000-0004-0000-0200-000037000000}"/>
    <hyperlink ref="F50" r:id="rId57" xr:uid="{00000000-0004-0000-0200-000038000000}"/>
    <hyperlink ref="S50" r:id="rId58" xr:uid="{00000000-0004-0000-0200-000039000000}"/>
    <hyperlink ref="F51" r:id="rId59" xr:uid="{00000000-0004-0000-0200-00003A000000}"/>
    <hyperlink ref="G51" r:id="rId60" xr:uid="{00000000-0004-0000-0200-00003B000000}"/>
    <hyperlink ref="S51" r:id="rId61" xr:uid="{00000000-0004-0000-0200-00003C000000}"/>
    <hyperlink ref="G53" r:id="rId62" xr:uid="{00000000-0004-0000-0200-00003D000000}"/>
    <hyperlink ref="S53" r:id="rId63" xr:uid="{00000000-0004-0000-0200-00003E000000}"/>
    <hyperlink ref="F54" r:id="rId64" xr:uid="{00000000-0004-0000-0200-00003F000000}"/>
    <hyperlink ref="S54" r:id="rId65" xr:uid="{00000000-0004-0000-0200-000040000000}"/>
    <hyperlink ref="F55" r:id="rId66" xr:uid="{00000000-0004-0000-0200-000041000000}"/>
    <hyperlink ref="F58" r:id="rId67" xr:uid="{00000000-0004-0000-0200-000042000000}"/>
    <hyperlink ref="S58" r:id="rId68" xr:uid="{00000000-0004-0000-0200-000043000000}"/>
    <hyperlink ref="F60" r:id="rId69" xr:uid="{00000000-0004-0000-0200-000044000000}"/>
    <hyperlink ref="S60" r:id="rId70" xr:uid="{00000000-0004-0000-0200-000045000000}"/>
    <hyperlink ref="C61" r:id="rId71" xr:uid="{00000000-0004-0000-0200-000046000000}"/>
    <hyperlink ref="F61" r:id="rId72" xr:uid="{00000000-0004-0000-0200-000047000000}"/>
    <hyperlink ref="G61" r:id="rId73" xr:uid="{00000000-0004-0000-0200-000048000000}"/>
    <hyperlink ref="S61" r:id="rId74" xr:uid="{00000000-0004-0000-0200-000049000000}"/>
    <hyperlink ref="F63" r:id="rId75" xr:uid="{00000000-0004-0000-0200-00004A000000}"/>
    <hyperlink ref="F64" r:id="rId76" xr:uid="{00000000-0004-0000-0200-00004B000000}"/>
    <hyperlink ref="F66" r:id="rId77" xr:uid="{00000000-0004-0000-0200-00004C000000}"/>
    <hyperlink ref="S66" r:id="rId78" xr:uid="{00000000-0004-0000-0200-00004D000000}"/>
    <hyperlink ref="F67" r:id="rId79" xr:uid="{00000000-0004-0000-0200-00004E000000}"/>
    <hyperlink ref="S67" r:id="rId80" xr:uid="{00000000-0004-0000-0200-00004F000000}"/>
    <hyperlink ref="F68" r:id="rId81" xr:uid="{00000000-0004-0000-0200-000050000000}"/>
    <hyperlink ref="G68" r:id="rId82" xr:uid="{00000000-0004-0000-0200-000051000000}"/>
    <hyperlink ref="S68" r:id="rId83" xr:uid="{00000000-0004-0000-0200-000052000000}"/>
    <hyperlink ref="F69" r:id="rId84" xr:uid="{00000000-0004-0000-0200-000053000000}"/>
    <hyperlink ref="S69" r:id="rId85" xr:uid="{00000000-0004-0000-0200-000054000000}"/>
    <hyperlink ref="F70" r:id="rId86" xr:uid="{00000000-0004-0000-0200-000055000000}"/>
    <hyperlink ref="G70" r:id="rId87" xr:uid="{00000000-0004-0000-0200-000056000000}"/>
    <hyperlink ref="S70" r:id="rId88" xr:uid="{00000000-0004-0000-0200-000057000000}"/>
    <hyperlink ref="F71" r:id="rId89" xr:uid="{00000000-0004-0000-0200-000058000000}"/>
    <hyperlink ref="G71" r:id="rId90" xr:uid="{00000000-0004-0000-0200-000059000000}"/>
    <hyperlink ref="F72" r:id="rId91" xr:uid="{00000000-0004-0000-0200-00005A000000}"/>
    <hyperlink ref="S72" r:id="rId92" xr:uid="{00000000-0004-0000-0200-00005B000000}"/>
    <hyperlink ref="F73" r:id="rId93" xr:uid="{00000000-0004-0000-0200-00005C000000}"/>
    <hyperlink ref="G73" r:id="rId94" xr:uid="{00000000-0004-0000-0200-00005D000000}"/>
    <hyperlink ref="S73" r:id="rId95" xr:uid="{00000000-0004-0000-0200-00005E000000}"/>
    <hyperlink ref="F74" r:id="rId96" xr:uid="{00000000-0004-0000-0200-00005F000000}"/>
    <hyperlink ref="S74" r:id="rId97" xr:uid="{00000000-0004-0000-0200-000060000000}"/>
    <hyperlink ref="F77" r:id="rId98" xr:uid="{00000000-0004-0000-0200-000061000000}"/>
    <hyperlink ref="F78" r:id="rId99" xr:uid="{00000000-0004-0000-0200-000062000000}"/>
    <hyperlink ref="G80" r:id="rId100" xr:uid="{00000000-0004-0000-0200-000063000000}"/>
    <hyperlink ref="F81" r:id="rId101" xr:uid="{00000000-0004-0000-0200-000064000000}"/>
    <hyperlink ref="F82" r:id="rId102" location="referrer=https%3A%2F%2Fwww.google.com&amp;amp_tf=De%20%251%24s&amp;ampshare=https%3A%2F%2Fokdiario.com%2Fespana%2F2018%2F11%2F23%2Figlesias-califica-patriotismo-extrano-defender-soberania-gibraltar-3382790" xr:uid="{00000000-0004-0000-0200-000065000000}"/>
    <hyperlink ref="F83" r:id="rId103" location="ns_campaign=rrss-inducido&amp;ns_mchannel=abc-es&amp;ns_source=tw&amp;ns_linkname=noticia-opinion&amp;ns_fee=0" xr:uid="{00000000-0004-0000-0200-000066000000}"/>
    <hyperlink ref="G84" r:id="rId104" xr:uid="{00000000-0004-0000-0200-000067000000}"/>
    <hyperlink ref="F85" r:id="rId105" xr:uid="{00000000-0004-0000-0200-000068000000}"/>
    <hyperlink ref="S85" r:id="rId106" xr:uid="{00000000-0004-0000-0200-000069000000}"/>
    <hyperlink ref="G86" r:id="rId107" xr:uid="{00000000-0004-0000-0200-00006A000000}"/>
    <hyperlink ref="F87" r:id="rId108" xr:uid="{00000000-0004-0000-0200-00006B000000}"/>
    <hyperlink ref="F88" r:id="rId109" xr:uid="{00000000-0004-0000-0200-00006C000000}"/>
    <hyperlink ref="G88" r:id="rId110" xr:uid="{00000000-0004-0000-0200-00006D000000}"/>
    <hyperlink ref="S88" r:id="rId111" xr:uid="{00000000-0004-0000-0200-00006E000000}"/>
    <hyperlink ref="F89" r:id="rId112" xr:uid="{00000000-0004-0000-0200-00006F000000}"/>
    <hyperlink ref="F90" r:id="rId113" xr:uid="{00000000-0004-0000-0200-000070000000}"/>
    <hyperlink ref="F91" r:id="rId114" xr:uid="{00000000-0004-0000-0200-000071000000}"/>
    <hyperlink ref="G91" r:id="rId115" xr:uid="{00000000-0004-0000-0200-000072000000}"/>
    <hyperlink ref="S91" r:id="rId116" xr:uid="{00000000-0004-0000-0200-000073000000}"/>
    <hyperlink ref="F92" r:id="rId117" xr:uid="{00000000-0004-0000-0200-000074000000}"/>
    <hyperlink ref="S92" r:id="rId118" xr:uid="{00000000-0004-0000-0200-000075000000}"/>
    <hyperlink ref="F93" r:id="rId119" xr:uid="{00000000-0004-0000-0200-000076000000}"/>
    <hyperlink ref="F94" r:id="rId120" location="referrer=https%3A%2F%2Fwww.google.com&amp;amp_tf=De%20%251%24s&amp;ampshare=https%3A%2F%2Fokdiario.com%2Fespana%2F2018%2F11%2F23%2Figlesias-califica-patriotismo-extrano-defender-soberania-gibraltar-3382790" xr:uid="{00000000-0004-0000-0200-000077000000}"/>
    <hyperlink ref="F96" r:id="rId121" xr:uid="{00000000-0004-0000-0200-000078000000}"/>
    <hyperlink ref="F97" r:id="rId122" xr:uid="{00000000-0004-0000-0200-000079000000}"/>
    <hyperlink ref="S97" r:id="rId123" xr:uid="{00000000-0004-0000-0200-00007A000000}"/>
    <hyperlink ref="F98" r:id="rId124" xr:uid="{00000000-0004-0000-0200-00007B000000}"/>
    <hyperlink ref="S98" r:id="rId125" xr:uid="{00000000-0004-0000-0200-00007C000000}"/>
    <hyperlink ref="F100" r:id="rId126" xr:uid="{00000000-0004-0000-0200-00007D000000}"/>
    <hyperlink ref="F102" r:id="rId127" xr:uid="{00000000-0004-0000-0200-00007E000000}"/>
    <hyperlink ref="S102" r:id="rId128" xr:uid="{00000000-0004-0000-0200-00007F000000}"/>
    <hyperlink ref="F103" r:id="rId129" xr:uid="{00000000-0004-0000-0200-000080000000}"/>
    <hyperlink ref="F104" r:id="rId130" xr:uid="{00000000-0004-0000-0200-000081000000}"/>
    <hyperlink ref="F105" r:id="rId131" xr:uid="{00000000-0004-0000-0200-000082000000}"/>
    <hyperlink ref="F106" r:id="rId132" xr:uid="{00000000-0004-0000-0200-000083000000}"/>
    <hyperlink ref="G106" r:id="rId133" xr:uid="{00000000-0004-0000-0200-000084000000}"/>
    <hyperlink ref="S106" r:id="rId134" xr:uid="{00000000-0004-0000-0200-000085000000}"/>
    <hyperlink ref="S107" r:id="rId135" xr:uid="{00000000-0004-0000-0200-000086000000}"/>
    <hyperlink ref="G108" r:id="rId136" xr:uid="{00000000-0004-0000-0200-000087000000}"/>
    <hyperlink ref="F109" r:id="rId137" xr:uid="{00000000-0004-0000-0200-000088000000}"/>
    <hyperlink ref="S109" r:id="rId138" xr:uid="{00000000-0004-0000-0200-000089000000}"/>
    <hyperlink ref="F110" r:id="rId139" xr:uid="{00000000-0004-0000-0200-00008A000000}"/>
    <hyperlink ref="F111" r:id="rId140" xr:uid="{00000000-0004-0000-0200-00008B000000}"/>
    <hyperlink ref="F112" r:id="rId141" xr:uid="{00000000-0004-0000-0200-00008C000000}"/>
    <hyperlink ref="F113" r:id="rId142" xr:uid="{00000000-0004-0000-0200-00008D000000}"/>
    <hyperlink ref="G114" r:id="rId143" xr:uid="{00000000-0004-0000-0200-00008E000000}"/>
    <hyperlink ref="G116" r:id="rId144" xr:uid="{00000000-0004-0000-0200-00008F000000}"/>
    <hyperlink ref="S116" r:id="rId145" xr:uid="{00000000-0004-0000-0200-000090000000}"/>
    <hyperlink ref="F117" r:id="rId146" xr:uid="{00000000-0004-0000-0200-000091000000}"/>
    <hyperlink ref="F119" r:id="rId147" xr:uid="{00000000-0004-0000-0200-000092000000}"/>
    <hyperlink ref="R119" r:id="rId148" xr:uid="{00000000-0004-0000-0200-000093000000}"/>
    <hyperlink ref="S119" r:id="rId149" xr:uid="{00000000-0004-0000-0200-000094000000}"/>
    <hyperlink ref="F120" r:id="rId150" xr:uid="{00000000-0004-0000-0200-000095000000}"/>
    <hyperlink ref="G120" r:id="rId151" xr:uid="{00000000-0004-0000-0200-000096000000}"/>
    <hyperlink ref="S120" r:id="rId152" xr:uid="{00000000-0004-0000-0200-000097000000}"/>
    <hyperlink ref="F121" r:id="rId153" xr:uid="{00000000-0004-0000-0200-000098000000}"/>
    <hyperlink ref="S122" r:id="rId154" xr:uid="{00000000-0004-0000-0200-000099000000}"/>
    <hyperlink ref="S123" r:id="rId155" xr:uid="{00000000-0004-0000-0200-00009A000000}"/>
    <hyperlink ref="F124" r:id="rId156" xr:uid="{00000000-0004-0000-0200-00009B000000}"/>
    <hyperlink ref="F125" r:id="rId157" xr:uid="{00000000-0004-0000-0200-00009C000000}"/>
    <hyperlink ref="S125" r:id="rId158" xr:uid="{00000000-0004-0000-0200-00009D000000}"/>
    <hyperlink ref="F126" r:id="rId159" xr:uid="{00000000-0004-0000-0200-00009E000000}"/>
    <hyperlink ref="F127" r:id="rId160" xr:uid="{00000000-0004-0000-0200-00009F000000}"/>
    <hyperlink ref="F128" r:id="rId161" xr:uid="{00000000-0004-0000-0200-0000A0000000}"/>
    <hyperlink ref="F129" r:id="rId162" xr:uid="{00000000-0004-0000-0200-0000A1000000}"/>
    <hyperlink ref="G129" r:id="rId163" xr:uid="{00000000-0004-0000-0200-0000A2000000}"/>
    <hyperlink ref="S129" r:id="rId164" xr:uid="{00000000-0004-0000-0200-0000A3000000}"/>
    <hyperlink ref="G130" r:id="rId165" xr:uid="{00000000-0004-0000-0200-0000A4000000}"/>
    <hyperlink ref="F131" r:id="rId166" xr:uid="{00000000-0004-0000-0200-0000A5000000}"/>
    <hyperlink ref="C132" r:id="rId167" xr:uid="{00000000-0004-0000-0200-0000A6000000}"/>
    <hyperlink ref="F132" r:id="rId168" xr:uid="{00000000-0004-0000-0200-0000A7000000}"/>
    <hyperlink ref="S132" r:id="rId169" xr:uid="{00000000-0004-0000-0200-0000A8000000}"/>
    <hyperlink ref="G133" r:id="rId170" xr:uid="{00000000-0004-0000-0200-0000A9000000}"/>
    <hyperlink ref="S133" r:id="rId171" xr:uid="{00000000-0004-0000-0200-0000AA000000}"/>
    <hyperlink ref="F134" r:id="rId172" xr:uid="{00000000-0004-0000-0200-0000AB000000}"/>
    <hyperlink ref="S135" r:id="rId173" xr:uid="{00000000-0004-0000-0200-0000AC000000}"/>
    <hyperlink ref="F136" r:id="rId174" xr:uid="{00000000-0004-0000-0200-0000AD000000}"/>
    <hyperlink ref="G136" r:id="rId175" xr:uid="{00000000-0004-0000-0200-0000AE000000}"/>
    <hyperlink ref="S136" r:id="rId176" xr:uid="{00000000-0004-0000-0200-0000AF000000}"/>
    <hyperlink ref="F137" r:id="rId177" xr:uid="{00000000-0004-0000-0200-0000B0000000}"/>
    <hyperlink ref="F138" r:id="rId178" xr:uid="{00000000-0004-0000-0200-0000B1000000}"/>
    <hyperlink ref="F139" r:id="rId179" location="referrer=https%3A%2F%2Fwww.google.com&amp;amp_tf=De%20%251%24s&amp;ampshare=https%3A%2F%2Fokdiario.com%2Fespana%2F2018%2F11%2F23%2Figlesias-califica-patriotismo-extrano-defender-soberania-gibraltar-3382790" xr:uid="{00000000-0004-0000-0200-0000B2000000}"/>
    <hyperlink ref="F140" r:id="rId180" xr:uid="{00000000-0004-0000-0200-0000B3000000}"/>
    <hyperlink ref="F141" r:id="rId181" xr:uid="{00000000-0004-0000-0200-0000B4000000}"/>
    <hyperlink ref="G141" r:id="rId182" xr:uid="{00000000-0004-0000-0200-0000B5000000}"/>
    <hyperlink ref="S141" r:id="rId183" xr:uid="{00000000-0004-0000-0200-0000B6000000}"/>
    <hyperlink ref="F142" r:id="rId184" xr:uid="{00000000-0004-0000-0200-0000B7000000}"/>
    <hyperlink ref="G143" r:id="rId185" xr:uid="{00000000-0004-0000-0200-0000B8000000}"/>
    <hyperlink ref="S143" r:id="rId186" xr:uid="{00000000-0004-0000-0200-0000B9000000}"/>
    <hyperlink ref="S144" r:id="rId187" xr:uid="{00000000-0004-0000-0200-0000BA000000}"/>
    <hyperlink ref="F145" r:id="rId188" xr:uid="{00000000-0004-0000-0200-0000BB000000}"/>
    <hyperlink ref="S145" r:id="rId189" xr:uid="{00000000-0004-0000-0200-0000BC000000}"/>
    <hyperlink ref="F146" r:id="rId190" xr:uid="{00000000-0004-0000-0200-0000BD000000}"/>
    <hyperlink ref="S146" r:id="rId191" xr:uid="{00000000-0004-0000-0200-0000BE000000}"/>
    <hyperlink ref="F147" r:id="rId192" xr:uid="{00000000-0004-0000-0200-0000BF000000}"/>
    <hyperlink ref="G147" r:id="rId193" xr:uid="{00000000-0004-0000-0200-0000C0000000}"/>
    <hyperlink ref="S147" r:id="rId194" xr:uid="{00000000-0004-0000-0200-0000C1000000}"/>
    <hyperlink ref="F149" r:id="rId195" xr:uid="{00000000-0004-0000-0200-0000C2000000}"/>
    <hyperlink ref="S149" r:id="rId196" xr:uid="{00000000-0004-0000-0200-0000C3000000}"/>
    <hyperlink ref="S150" r:id="rId197" xr:uid="{00000000-0004-0000-0200-0000C4000000}"/>
    <hyperlink ref="F151" r:id="rId198" xr:uid="{00000000-0004-0000-0200-0000C5000000}"/>
    <hyperlink ref="S151" r:id="rId199" xr:uid="{00000000-0004-0000-0200-0000C6000000}"/>
    <hyperlink ref="Q152" r:id="rId200" xr:uid="{00000000-0004-0000-0200-0000C7000000}"/>
    <hyperlink ref="S152" r:id="rId201" xr:uid="{00000000-0004-0000-0200-0000C8000000}"/>
    <hyperlink ref="G153" r:id="rId202" xr:uid="{00000000-0004-0000-0200-0000C9000000}"/>
    <hyperlink ref="S153" r:id="rId203" xr:uid="{00000000-0004-0000-0200-0000CA000000}"/>
    <hyperlink ref="F154" r:id="rId204" xr:uid="{00000000-0004-0000-0200-0000CB000000}"/>
    <hyperlink ref="S154" r:id="rId205" xr:uid="{00000000-0004-0000-0200-0000CC000000}"/>
    <hyperlink ref="F155" r:id="rId206" xr:uid="{00000000-0004-0000-0200-0000CD000000}"/>
    <hyperlink ref="S156" r:id="rId207" xr:uid="{00000000-0004-0000-0200-0000CE000000}"/>
    <hyperlink ref="F157" r:id="rId208" xr:uid="{00000000-0004-0000-0200-0000CF000000}"/>
    <hyperlink ref="S157" r:id="rId209" xr:uid="{00000000-0004-0000-0200-0000D0000000}"/>
    <hyperlink ref="G158" r:id="rId210" xr:uid="{00000000-0004-0000-0200-0000D1000000}"/>
    <hyperlink ref="S158" r:id="rId211" xr:uid="{00000000-0004-0000-0200-0000D2000000}"/>
    <hyperlink ref="G159" r:id="rId212" xr:uid="{00000000-0004-0000-0200-0000D3000000}"/>
    <hyperlink ref="F160" r:id="rId213" location=".W_fg1BfhQZc.twitter" xr:uid="{00000000-0004-0000-0200-0000D4000000}"/>
    <hyperlink ref="F161" r:id="rId214" xr:uid="{00000000-0004-0000-0200-0000D5000000}"/>
    <hyperlink ref="F162" r:id="rId215" location=".W_fgNMd-S74.twitter" xr:uid="{00000000-0004-0000-0200-0000D6000000}"/>
    <hyperlink ref="S162" r:id="rId216" xr:uid="{00000000-0004-0000-0200-0000D7000000}"/>
    <hyperlink ref="F163" r:id="rId217" xr:uid="{00000000-0004-0000-0200-0000D8000000}"/>
    <hyperlink ref="G163" r:id="rId218" xr:uid="{00000000-0004-0000-0200-0000D9000000}"/>
    <hyperlink ref="S163" r:id="rId219" xr:uid="{00000000-0004-0000-0200-0000DA000000}"/>
    <hyperlink ref="C164" r:id="rId220" xr:uid="{00000000-0004-0000-0200-0000DB000000}"/>
    <hyperlink ref="F164" r:id="rId221" xr:uid="{00000000-0004-0000-0200-0000DC000000}"/>
    <hyperlink ref="G164" r:id="rId222" xr:uid="{00000000-0004-0000-0200-0000DD000000}"/>
    <hyperlink ref="S164" r:id="rId223" xr:uid="{00000000-0004-0000-0200-0000DE000000}"/>
    <hyperlink ref="F165" r:id="rId224" xr:uid="{00000000-0004-0000-0200-0000DF000000}"/>
    <hyperlink ref="G165" r:id="rId225" xr:uid="{00000000-0004-0000-0200-0000E0000000}"/>
    <hyperlink ref="F166" r:id="rId226" xr:uid="{00000000-0004-0000-0200-0000E1000000}"/>
    <hyperlink ref="F167" r:id="rId227" xr:uid="{00000000-0004-0000-0200-0000E2000000}"/>
    <hyperlink ref="S167" r:id="rId228" xr:uid="{00000000-0004-0000-0200-0000E3000000}"/>
    <hyperlink ref="F168" r:id="rId229" xr:uid="{00000000-0004-0000-0200-0000E4000000}"/>
    <hyperlink ref="S168" r:id="rId230" xr:uid="{00000000-0004-0000-0200-0000E5000000}"/>
    <hyperlink ref="F169" r:id="rId231" xr:uid="{00000000-0004-0000-0200-0000E6000000}"/>
    <hyperlink ref="F170" r:id="rId232" xr:uid="{00000000-0004-0000-0200-0000E7000000}"/>
    <hyperlink ref="F171" r:id="rId233" xr:uid="{00000000-0004-0000-0200-0000E8000000}"/>
    <hyperlink ref="S171" r:id="rId234" xr:uid="{00000000-0004-0000-0200-0000E9000000}"/>
    <hyperlink ref="F172" r:id="rId235" xr:uid="{00000000-0004-0000-0200-0000EA000000}"/>
    <hyperlink ref="F173" r:id="rId236" xr:uid="{00000000-0004-0000-0200-0000EB000000}"/>
    <hyperlink ref="F174" r:id="rId237" xr:uid="{00000000-0004-0000-0200-0000EC000000}"/>
    <hyperlink ref="S174" r:id="rId238" xr:uid="{00000000-0004-0000-0200-0000ED000000}"/>
    <hyperlink ref="F175" r:id="rId239" xr:uid="{00000000-0004-0000-0200-0000EE000000}"/>
    <hyperlink ref="S175" r:id="rId240" xr:uid="{00000000-0004-0000-0200-0000EF000000}"/>
    <hyperlink ref="G176" r:id="rId241" xr:uid="{00000000-0004-0000-0200-0000F0000000}"/>
    <hyperlink ref="S176" r:id="rId242" xr:uid="{00000000-0004-0000-0200-0000F1000000}"/>
    <hyperlink ref="F177" r:id="rId243" xr:uid="{00000000-0004-0000-0200-0000F2000000}"/>
    <hyperlink ref="S177" r:id="rId244" xr:uid="{00000000-0004-0000-0200-0000F3000000}"/>
    <hyperlink ref="F178" r:id="rId245" xr:uid="{00000000-0004-0000-0200-0000F4000000}"/>
    <hyperlink ref="F179" r:id="rId246" location=".W_fdKQwPUXo.twitter" xr:uid="{00000000-0004-0000-0200-0000F5000000}"/>
    <hyperlink ref="S179" r:id="rId247" xr:uid="{00000000-0004-0000-0200-0000F6000000}"/>
    <hyperlink ref="F180" r:id="rId248" location="referrer=https%3A%2F%2Fwww.google.com&amp;amp_tf=De%20%251%24s&amp;ampshare=https%3A%2F%2Fokdiario.com%2Fespana%2F2018%2F11%2F23%2Figlesias-califica-patriotismo-extrano-defender-soberania-gibraltar-3382790" xr:uid="{00000000-0004-0000-0200-0000F7000000}"/>
    <hyperlink ref="F182" r:id="rId249" xr:uid="{00000000-0004-0000-0200-0000F8000000}"/>
    <hyperlink ref="S182" r:id="rId250" xr:uid="{00000000-0004-0000-0200-0000F9000000}"/>
    <hyperlink ref="F183" r:id="rId251" xr:uid="{00000000-0004-0000-0200-0000FA000000}"/>
    <hyperlink ref="R183" r:id="rId252" xr:uid="{00000000-0004-0000-0200-0000FB000000}"/>
    <hyperlink ref="S183" r:id="rId253" xr:uid="{00000000-0004-0000-0200-0000FC000000}"/>
    <hyperlink ref="F185" r:id="rId254" xr:uid="{00000000-0004-0000-0200-0000FD000000}"/>
    <hyperlink ref="G188" r:id="rId255" xr:uid="{00000000-0004-0000-0200-0000FE000000}"/>
    <hyperlink ref="F189" r:id="rId256" xr:uid="{00000000-0004-0000-0200-0000FF000000}"/>
    <hyperlink ref="G189" r:id="rId257" xr:uid="{00000000-0004-0000-0200-000000010000}"/>
    <hyperlink ref="S189" r:id="rId258" xr:uid="{00000000-0004-0000-0200-000001010000}"/>
    <hyperlink ref="F190" r:id="rId259" xr:uid="{00000000-0004-0000-0200-000002010000}"/>
    <hyperlink ref="S190" r:id="rId260" xr:uid="{00000000-0004-0000-0200-000003010000}"/>
    <hyperlink ref="F191" r:id="rId261" location="referrer=https%3A%2F%2Fwww.google.com&amp;amp_tf=De%20%251%24s&amp;ampshare=https%3A%2F%2Fokdiario.com%2Fespana%2F2018%2F11%2F23%2Figlesias-califica-patriotismo-extrano-defender-soberania-gibraltar-3382790" xr:uid="{00000000-0004-0000-0200-000004010000}"/>
    <hyperlink ref="F192" r:id="rId262" location=".W_fYM6CslB4.twitter" xr:uid="{00000000-0004-0000-0200-000005010000}"/>
    <hyperlink ref="F193" r:id="rId263" xr:uid="{00000000-0004-0000-0200-000006010000}"/>
    <hyperlink ref="S193" r:id="rId264" xr:uid="{00000000-0004-0000-0200-000007010000}"/>
    <hyperlink ref="F194" r:id="rId265" location="referrer=https%3A%2F%2Fwww.google.com&amp;amp_tf=De%20%251%24s&amp;ampshare=https%3A%2F%2Fokdiario.com%2Fespana%2F2018%2F11%2F23%2Figlesias-califica-patriotismo-extrano-defender-soberania-gibraltar-3382790" xr:uid="{00000000-0004-0000-0200-000008010000}"/>
    <hyperlink ref="F195" r:id="rId266" xr:uid="{00000000-0004-0000-0200-000009010000}"/>
    <hyperlink ref="S195" r:id="rId267" xr:uid="{00000000-0004-0000-0200-00000A010000}"/>
    <hyperlink ref="F196" r:id="rId268" xr:uid="{00000000-0004-0000-0200-00000B010000}"/>
    <hyperlink ref="F197" r:id="rId269" xr:uid="{00000000-0004-0000-0200-00000C010000}"/>
    <hyperlink ref="S197" r:id="rId270" xr:uid="{00000000-0004-0000-0200-00000D010000}"/>
    <hyperlink ref="F198" r:id="rId271" xr:uid="{00000000-0004-0000-0200-00000E010000}"/>
    <hyperlink ref="S198" r:id="rId272" xr:uid="{00000000-0004-0000-0200-00000F010000}"/>
    <hyperlink ref="F199" r:id="rId273" xr:uid="{00000000-0004-0000-0200-000010010000}"/>
    <hyperlink ref="S199" r:id="rId274" xr:uid="{00000000-0004-0000-0200-000011010000}"/>
    <hyperlink ref="F200" r:id="rId275" xr:uid="{00000000-0004-0000-0200-000012010000}"/>
    <hyperlink ref="S200" r:id="rId276" xr:uid="{00000000-0004-0000-0200-000013010000}"/>
    <hyperlink ref="F201" r:id="rId277" xr:uid="{00000000-0004-0000-0200-000014010000}"/>
    <hyperlink ref="S201" r:id="rId278" xr:uid="{00000000-0004-0000-0200-000015010000}"/>
    <hyperlink ref="F202" r:id="rId279" xr:uid="{00000000-0004-0000-0200-000016010000}"/>
    <hyperlink ref="G202" r:id="rId280" xr:uid="{00000000-0004-0000-0200-000017010000}"/>
    <hyperlink ref="F203" r:id="rId281" xr:uid="{00000000-0004-0000-0200-000018010000}"/>
    <hyperlink ref="F204" r:id="rId282" xr:uid="{00000000-0004-0000-0200-000019010000}"/>
    <hyperlink ref="F206" r:id="rId283" xr:uid="{00000000-0004-0000-0200-00001A010000}"/>
    <hyperlink ref="S206" r:id="rId284" xr:uid="{00000000-0004-0000-0200-00001B010000}"/>
    <hyperlink ref="F208" r:id="rId285" xr:uid="{00000000-0004-0000-0200-00001C010000}"/>
    <hyperlink ref="F209" r:id="rId286" location=".W_fVYrsi3iM.twitter" xr:uid="{00000000-0004-0000-0200-00001D010000}"/>
    <hyperlink ref="C210" r:id="rId287" xr:uid="{00000000-0004-0000-0200-00001E010000}"/>
    <hyperlink ref="F210" r:id="rId288" xr:uid="{00000000-0004-0000-0200-00001F010000}"/>
    <hyperlink ref="S210" r:id="rId289" xr:uid="{00000000-0004-0000-0200-000020010000}"/>
    <hyperlink ref="F211" r:id="rId290" xr:uid="{00000000-0004-0000-0200-000021010000}"/>
    <hyperlink ref="F213" r:id="rId291" xr:uid="{00000000-0004-0000-0200-000022010000}"/>
    <hyperlink ref="F214" r:id="rId292" xr:uid="{00000000-0004-0000-0200-000023010000}"/>
    <hyperlink ref="S214" r:id="rId293" xr:uid="{00000000-0004-0000-0200-000024010000}"/>
    <hyperlink ref="F215" r:id="rId294" xr:uid="{00000000-0004-0000-0200-000025010000}"/>
    <hyperlink ref="S215" r:id="rId295" xr:uid="{00000000-0004-0000-0200-000026010000}"/>
    <hyperlink ref="F217" r:id="rId296" xr:uid="{00000000-0004-0000-0200-000027010000}"/>
    <hyperlink ref="S218" r:id="rId297" xr:uid="{00000000-0004-0000-0200-000028010000}"/>
    <hyperlink ref="F219" r:id="rId298" xr:uid="{00000000-0004-0000-0200-000029010000}"/>
    <hyperlink ref="G219" r:id="rId299" xr:uid="{00000000-0004-0000-0200-00002A010000}"/>
    <hyperlink ref="F220" r:id="rId300" xr:uid="{00000000-0004-0000-0200-00002B010000}"/>
    <hyperlink ref="G220" r:id="rId301" xr:uid="{00000000-0004-0000-0200-00002C010000}"/>
    <hyperlink ref="S220" r:id="rId302" xr:uid="{00000000-0004-0000-0200-00002D010000}"/>
    <hyperlink ref="F221" r:id="rId303" xr:uid="{00000000-0004-0000-0200-00002E010000}"/>
    <hyperlink ref="F222" r:id="rId304" xr:uid="{00000000-0004-0000-0200-00002F010000}"/>
    <hyperlink ref="F223" r:id="rId305" xr:uid="{00000000-0004-0000-0200-000030010000}"/>
    <hyperlink ref="F224" r:id="rId306" xr:uid="{00000000-0004-0000-0200-000031010000}"/>
    <hyperlink ref="F225" r:id="rId307" xr:uid="{00000000-0004-0000-0200-000032010000}"/>
    <hyperlink ref="F226" r:id="rId308" xr:uid="{00000000-0004-0000-0200-000033010000}"/>
    <hyperlink ref="S226" r:id="rId309" xr:uid="{00000000-0004-0000-0200-000034010000}"/>
    <hyperlink ref="F227" r:id="rId310" xr:uid="{00000000-0004-0000-0200-000035010000}"/>
    <hyperlink ref="F228" r:id="rId311" xr:uid="{00000000-0004-0000-0200-000036010000}"/>
    <hyperlink ref="S228" r:id="rId312" xr:uid="{00000000-0004-0000-0200-000037010000}"/>
    <hyperlink ref="F229" r:id="rId313" xr:uid="{00000000-0004-0000-0200-000038010000}"/>
    <hyperlink ref="G229" r:id="rId314" xr:uid="{00000000-0004-0000-0200-000039010000}"/>
    <hyperlink ref="F230" r:id="rId315" xr:uid="{00000000-0004-0000-0200-00003A010000}"/>
    <hyperlink ref="S230" r:id="rId316" xr:uid="{00000000-0004-0000-0200-00003B010000}"/>
    <hyperlink ref="F232" r:id="rId317" xr:uid="{00000000-0004-0000-0200-00003C010000}"/>
    <hyperlink ref="S232" r:id="rId318" xr:uid="{00000000-0004-0000-0200-00003D010000}"/>
    <hyperlink ref="F233" r:id="rId319" xr:uid="{00000000-0004-0000-0200-00003E010000}"/>
    <hyperlink ref="G233" r:id="rId320" xr:uid="{00000000-0004-0000-0200-00003F010000}"/>
    <hyperlink ref="F234" r:id="rId321" xr:uid="{00000000-0004-0000-0200-000040010000}"/>
    <hyperlink ref="F235" r:id="rId322" xr:uid="{00000000-0004-0000-0200-000041010000}"/>
    <hyperlink ref="F236" r:id="rId323" xr:uid="{00000000-0004-0000-0200-000042010000}"/>
    <hyperlink ref="G236" r:id="rId324" xr:uid="{00000000-0004-0000-0200-000043010000}"/>
    <hyperlink ref="S236" r:id="rId325" xr:uid="{00000000-0004-0000-0200-000044010000}"/>
    <hyperlink ref="F237" r:id="rId326" xr:uid="{00000000-0004-0000-0200-000045010000}"/>
    <hyperlink ref="F238" r:id="rId327" xr:uid="{00000000-0004-0000-0200-000046010000}"/>
    <hyperlink ref="G239" r:id="rId328" xr:uid="{00000000-0004-0000-0200-000047010000}"/>
    <hyperlink ref="S239" r:id="rId329" xr:uid="{00000000-0004-0000-0200-000048010000}"/>
    <hyperlink ref="G240" r:id="rId330" xr:uid="{00000000-0004-0000-0200-000049010000}"/>
    <hyperlink ref="S240" r:id="rId331" xr:uid="{00000000-0004-0000-0200-00004A010000}"/>
    <hyperlink ref="F241" r:id="rId332" xr:uid="{00000000-0004-0000-0200-00004B010000}"/>
    <hyperlink ref="S241" r:id="rId333" xr:uid="{00000000-0004-0000-0200-00004C010000}"/>
    <hyperlink ref="G242" r:id="rId334" xr:uid="{00000000-0004-0000-0200-00004D010000}"/>
    <hyperlink ref="S242" r:id="rId335" xr:uid="{00000000-0004-0000-0200-00004E010000}"/>
    <hyperlink ref="G243" r:id="rId336" xr:uid="{00000000-0004-0000-0200-00004F010000}"/>
    <hyperlink ref="S243" r:id="rId337" xr:uid="{00000000-0004-0000-0200-000050010000}"/>
    <hyperlink ref="F244" r:id="rId338" xr:uid="{00000000-0004-0000-0200-000051010000}"/>
    <hyperlink ref="S244" r:id="rId339" xr:uid="{00000000-0004-0000-0200-000052010000}"/>
    <hyperlink ref="F245" r:id="rId340" xr:uid="{00000000-0004-0000-0200-000053010000}"/>
    <hyperlink ref="S245" r:id="rId341" location="_=_" xr:uid="{00000000-0004-0000-0200-000054010000}"/>
    <hyperlink ref="F246" r:id="rId342" xr:uid="{00000000-0004-0000-0200-000055010000}"/>
    <hyperlink ref="F247" r:id="rId343" xr:uid="{00000000-0004-0000-0200-000056010000}"/>
    <hyperlink ref="G247" r:id="rId344" xr:uid="{00000000-0004-0000-0200-000057010000}"/>
    <hyperlink ref="S247" r:id="rId345" xr:uid="{00000000-0004-0000-0200-000058010000}"/>
    <hyperlink ref="F248" r:id="rId346" xr:uid="{00000000-0004-0000-0200-000059010000}"/>
    <hyperlink ref="S248" r:id="rId347" xr:uid="{00000000-0004-0000-0200-00005A010000}"/>
    <hyperlink ref="F249" r:id="rId348" xr:uid="{00000000-0004-0000-0200-00005B010000}"/>
    <hyperlink ref="S249" r:id="rId349" xr:uid="{00000000-0004-0000-0200-00005C010000}"/>
    <hyperlink ref="F250" r:id="rId350" xr:uid="{00000000-0004-0000-0200-00005D010000}"/>
    <hyperlink ref="F251" r:id="rId351" xr:uid="{00000000-0004-0000-0200-00005E010000}"/>
    <hyperlink ref="F252" r:id="rId352" xr:uid="{00000000-0004-0000-0200-00005F010000}"/>
    <hyperlink ref="F253" r:id="rId353" xr:uid="{00000000-0004-0000-0200-000060010000}"/>
    <hyperlink ref="S253" r:id="rId354" xr:uid="{00000000-0004-0000-0200-000061010000}"/>
    <hyperlink ref="S254" r:id="rId355" xr:uid="{00000000-0004-0000-0200-000062010000}"/>
    <hyperlink ref="S255" r:id="rId356" xr:uid="{00000000-0004-0000-0200-000063010000}"/>
    <hyperlink ref="F256" r:id="rId357" xr:uid="{00000000-0004-0000-0200-000064010000}"/>
    <hyperlink ref="G256" r:id="rId358" xr:uid="{00000000-0004-0000-0200-000065010000}"/>
    <hyperlink ref="G257" r:id="rId359" xr:uid="{00000000-0004-0000-0200-000066010000}"/>
    <hyperlink ref="F259" r:id="rId360" xr:uid="{00000000-0004-0000-0200-000067010000}"/>
    <hyperlink ref="G259" r:id="rId361" xr:uid="{00000000-0004-0000-0200-000068010000}"/>
    <hyperlink ref="F260" r:id="rId362" xr:uid="{00000000-0004-0000-0200-000069010000}"/>
    <hyperlink ref="F261" r:id="rId363" xr:uid="{00000000-0004-0000-0200-00006A010000}"/>
    <hyperlink ref="S261" r:id="rId364" xr:uid="{00000000-0004-0000-0200-00006B010000}"/>
    <hyperlink ref="F263" r:id="rId365" xr:uid="{00000000-0004-0000-0200-00006C010000}"/>
    <hyperlink ref="G263" r:id="rId366" xr:uid="{00000000-0004-0000-0200-00006D010000}"/>
    <hyperlink ref="F264" r:id="rId367" xr:uid="{00000000-0004-0000-0200-00006E010000}"/>
    <hyperlink ref="G264" r:id="rId368" xr:uid="{00000000-0004-0000-0200-00006F010000}"/>
    <hyperlink ref="S264" r:id="rId369" xr:uid="{00000000-0004-0000-0200-000070010000}"/>
    <hyperlink ref="S265" r:id="rId370" xr:uid="{00000000-0004-0000-0200-000071010000}"/>
    <hyperlink ref="F266" r:id="rId371" xr:uid="{00000000-0004-0000-0200-000072010000}"/>
    <hyperlink ref="S266" r:id="rId372" xr:uid="{00000000-0004-0000-0200-000073010000}"/>
    <hyperlink ref="F267" r:id="rId373" xr:uid="{00000000-0004-0000-0200-000074010000}"/>
    <hyperlink ref="S267" r:id="rId374" xr:uid="{00000000-0004-0000-0200-000075010000}"/>
    <hyperlink ref="F268" r:id="rId375" xr:uid="{00000000-0004-0000-0200-000076010000}"/>
    <hyperlink ref="S268" r:id="rId376" xr:uid="{00000000-0004-0000-0200-000077010000}"/>
    <hyperlink ref="F269" r:id="rId377" xr:uid="{00000000-0004-0000-0200-000078010000}"/>
    <hyperlink ref="G269" r:id="rId378" xr:uid="{00000000-0004-0000-0200-000079010000}"/>
    <hyperlink ref="F270" r:id="rId379" xr:uid="{00000000-0004-0000-0200-00007A010000}"/>
    <hyperlink ref="G270" r:id="rId380" xr:uid="{00000000-0004-0000-0200-00007B010000}"/>
    <hyperlink ref="S270" r:id="rId381" xr:uid="{00000000-0004-0000-0200-00007C010000}"/>
    <hyperlink ref="F271" r:id="rId382" xr:uid="{00000000-0004-0000-0200-00007D010000}"/>
    <hyperlink ref="G271" r:id="rId383" xr:uid="{00000000-0004-0000-0200-00007E010000}"/>
    <hyperlink ref="S271" r:id="rId384" xr:uid="{00000000-0004-0000-0200-00007F010000}"/>
    <hyperlink ref="F273" r:id="rId385" xr:uid="{00000000-0004-0000-0200-000080010000}"/>
    <hyperlink ref="G273" r:id="rId386" xr:uid="{00000000-0004-0000-0200-000081010000}"/>
    <hyperlink ref="F276" r:id="rId387" xr:uid="{00000000-0004-0000-0200-000082010000}"/>
    <hyperlink ref="G276" r:id="rId388" xr:uid="{00000000-0004-0000-0200-000083010000}"/>
    <hyperlink ref="S276" r:id="rId389" xr:uid="{00000000-0004-0000-0200-000084010000}"/>
    <hyperlink ref="F277" r:id="rId390" xr:uid="{00000000-0004-0000-0200-000085010000}"/>
    <hyperlink ref="F279" r:id="rId391" xr:uid="{00000000-0004-0000-0200-000086010000}"/>
    <hyperlink ref="G279" r:id="rId392" xr:uid="{00000000-0004-0000-0200-000087010000}"/>
    <hyperlink ref="F280" r:id="rId393" xr:uid="{00000000-0004-0000-0200-000088010000}"/>
    <hyperlink ref="G280" r:id="rId394" xr:uid="{00000000-0004-0000-0200-000089010000}"/>
    <hyperlink ref="F281" r:id="rId395" xr:uid="{00000000-0004-0000-0200-00008A010000}"/>
    <hyperlink ref="C282" r:id="rId396" xr:uid="{00000000-0004-0000-0200-00008B010000}"/>
    <hyperlink ref="F282" r:id="rId397" xr:uid="{00000000-0004-0000-0200-00008C010000}"/>
    <hyperlink ref="S282" r:id="rId398" xr:uid="{00000000-0004-0000-0200-00008D010000}"/>
    <hyperlink ref="F283" r:id="rId399" xr:uid="{00000000-0004-0000-0200-00008E010000}"/>
    <hyperlink ref="S283" r:id="rId400" xr:uid="{00000000-0004-0000-0200-00008F010000}"/>
    <hyperlink ref="F284" r:id="rId401" xr:uid="{00000000-0004-0000-0200-000090010000}"/>
    <hyperlink ref="G284" r:id="rId402" xr:uid="{00000000-0004-0000-0200-000091010000}"/>
    <hyperlink ref="S284" r:id="rId403" xr:uid="{00000000-0004-0000-0200-000092010000}"/>
    <hyperlink ref="F285" r:id="rId404" xr:uid="{00000000-0004-0000-0200-000093010000}"/>
    <hyperlink ref="S285" r:id="rId405" xr:uid="{00000000-0004-0000-0200-000094010000}"/>
    <hyperlink ref="F286" r:id="rId406" xr:uid="{00000000-0004-0000-0200-000095010000}"/>
    <hyperlink ref="F287" r:id="rId407" xr:uid="{00000000-0004-0000-0200-000096010000}"/>
    <hyperlink ref="G289" r:id="rId408" xr:uid="{00000000-0004-0000-0200-000097010000}"/>
    <hyperlink ref="S289" r:id="rId409" xr:uid="{00000000-0004-0000-0200-000098010000}"/>
    <hyperlink ref="F290" r:id="rId410" xr:uid="{00000000-0004-0000-0200-000099010000}"/>
    <hyperlink ref="F293" r:id="rId411" xr:uid="{00000000-0004-0000-0200-00009A010000}"/>
    <hyperlink ref="S293" r:id="rId412" xr:uid="{00000000-0004-0000-0200-00009B010000}"/>
    <hyperlink ref="F294" r:id="rId413" xr:uid="{00000000-0004-0000-0200-00009C010000}"/>
    <hyperlink ref="G294" r:id="rId414" xr:uid="{00000000-0004-0000-0200-00009D010000}"/>
    <hyperlink ref="S294" r:id="rId415" xr:uid="{00000000-0004-0000-0200-00009E010000}"/>
    <hyperlink ref="G296" r:id="rId416" xr:uid="{00000000-0004-0000-0200-00009F010000}"/>
    <hyperlink ref="F297" r:id="rId417" xr:uid="{00000000-0004-0000-0200-0000A0010000}"/>
    <hyperlink ref="G298" r:id="rId418" xr:uid="{00000000-0004-0000-0200-0000A1010000}"/>
    <hyperlink ref="S298" r:id="rId419" xr:uid="{00000000-0004-0000-0200-0000A2010000}"/>
    <hyperlink ref="F299" r:id="rId420" xr:uid="{00000000-0004-0000-0200-0000A3010000}"/>
    <hyperlink ref="S299" r:id="rId421" xr:uid="{00000000-0004-0000-0200-0000A4010000}"/>
    <hyperlink ref="G300" r:id="rId422" xr:uid="{00000000-0004-0000-0200-0000A5010000}"/>
    <hyperlink ref="S300" r:id="rId423" xr:uid="{00000000-0004-0000-0200-0000A6010000}"/>
    <hyperlink ref="F301" r:id="rId424" xr:uid="{00000000-0004-0000-0200-0000A7010000}"/>
    <hyperlink ref="F302" r:id="rId425" xr:uid="{00000000-0004-0000-0200-0000A8010000}"/>
    <hyperlink ref="G302" r:id="rId426" xr:uid="{00000000-0004-0000-0200-0000A9010000}"/>
    <hyperlink ref="G303" r:id="rId427" xr:uid="{00000000-0004-0000-0200-0000AA010000}"/>
    <hyperlink ref="C305" r:id="rId428" xr:uid="{00000000-0004-0000-0200-0000AB010000}"/>
    <hyperlink ref="F305" r:id="rId429" xr:uid="{00000000-0004-0000-0200-0000AC010000}"/>
    <hyperlink ref="S305" r:id="rId430" xr:uid="{00000000-0004-0000-0200-0000AD010000}"/>
    <hyperlink ref="F307" r:id="rId431" xr:uid="{00000000-0004-0000-0200-0000AE010000}"/>
    <hyperlink ref="S307" r:id="rId432" xr:uid="{00000000-0004-0000-0200-0000AF010000}"/>
    <hyperlink ref="F308" r:id="rId433" xr:uid="{00000000-0004-0000-0200-0000B0010000}"/>
    <hyperlink ref="G308" r:id="rId434" xr:uid="{00000000-0004-0000-0200-0000B1010000}"/>
    <hyperlink ref="S308" r:id="rId435" xr:uid="{00000000-0004-0000-0200-0000B2010000}"/>
    <hyperlink ref="F309" r:id="rId436" xr:uid="{00000000-0004-0000-0200-0000B3010000}"/>
    <hyperlink ref="G309" r:id="rId437" xr:uid="{00000000-0004-0000-0200-0000B4010000}"/>
    <hyperlink ref="S309" r:id="rId438" xr:uid="{00000000-0004-0000-0200-0000B5010000}"/>
    <hyperlink ref="S310" r:id="rId439" xr:uid="{00000000-0004-0000-0200-0000B6010000}"/>
    <hyperlink ref="F311" r:id="rId440" xr:uid="{00000000-0004-0000-0200-0000B7010000}"/>
    <hyperlink ref="G311" r:id="rId441" xr:uid="{00000000-0004-0000-0200-0000B8010000}"/>
    <hyperlink ref="G312" r:id="rId442" xr:uid="{00000000-0004-0000-0200-0000B9010000}"/>
    <hyperlink ref="S312" r:id="rId443" xr:uid="{00000000-0004-0000-0200-0000BA010000}"/>
    <hyperlink ref="F314" r:id="rId444" xr:uid="{00000000-0004-0000-0200-0000BB010000}"/>
    <hyperlink ref="S314" r:id="rId445" xr:uid="{00000000-0004-0000-0200-0000BC010000}"/>
    <hyperlink ref="F316" r:id="rId446" xr:uid="{00000000-0004-0000-0200-0000BD010000}"/>
    <hyperlink ref="F317" r:id="rId447" xr:uid="{00000000-0004-0000-0200-0000BE010000}"/>
    <hyperlink ref="G317" r:id="rId448" xr:uid="{00000000-0004-0000-0200-0000BF010000}"/>
    <hyperlink ref="S317" r:id="rId449" xr:uid="{00000000-0004-0000-0200-0000C0010000}"/>
    <hyperlink ref="F318" r:id="rId450" xr:uid="{00000000-0004-0000-0200-0000C1010000}"/>
    <hyperlink ref="F319" r:id="rId451" xr:uid="{00000000-0004-0000-0200-0000C2010000}"/>
    <hyperlink ref="S319" r:id="rId452" xr:uid="{00000000-0004-0000-0200-0000C3010000}"/>
    <hyperlink ref="S320" r:id="rId453" xr:uid="{00000000-0004-0000-0200-0000C4010000}"/>
    <hyperlink ref="G321" r:id="rId454" xr:uid="{00000000-0004-0000-0200-0000C5010000}"/>
    <hyperlink ref="S321" r:id="rId455" xr:uid="{00000000-0004-0000-0200-0000C6010000}"/>
    <hyperlink ref="F322" r:id="rId456" xr:uid="{00000000-0004-0000-0200-0000C7010000}"/>
    <hyperlink ref="G322" r:id="rId457" xr:uid="{00000000-0004-0000-0200-0000C8010000}"/>
    <hyperlink ref="S322" r:id="rId458" xr:uid="{00000000-0004-0000-0200-0000C9010000}"/>
    <hyperlink ref="F324" r:id="rId459" xr:uid="{00000000-0004-0000-0200-0000CA010000}"/>
    <hyperlink ref="G324" r:id="rId460" xr:uid="{00000000-0004-0000-0200-0000CB010000}"/>
    <hyperlink ref="S324" r:id="rId461" xr:uid="{00000000-0004-0000-0200-0000CC010000}"/>
    <hyperlink ref="F330" r:id="rId462" xr:uid="{00000000-0004-0000-0200-0000CD010000}"/>
    <hyperlink ref="F331" r:id="rId463" xr:uid="{00000000-0004-0000-0200-0000CE010000}"/>
    <hyperlink ref="G331" r:id="rId464" xr:uid="{00000000-0004-0000-0200-0000CF010000}"/>
    <hyperlink ref="S331" r:id="rId465" xr:uid="{00000000-0004-0000-0200-0000D0010000}"/>
    <hyperlink ref="G334" r:id="rId466" xr:uid="{00000000-0004-0000-0200-0000D1010000}"/>
    <hyperlink ref="F335" r:id="rId467" xr:uid="{00000000-0004-0000-0200-0000D2010000}"/>
    <hyperlink ref="G335" r:id="rId468" xr:uid="{00000000-0004-0000-0200-0000D3010000}"/>
    <hyperlink ref="S335" r:id="rId469" xr:uid="{00000000-0004-0000-0200-0000D4010000}"/>
    <hyperlink ref="F336" r:id="rId470" xr:uid="{00000000-0004-0000-0200-0000D5010000}"/>
    <hyperlink ref="G336" r:id="rId471" xr:uid="{00000000-0004-0000-0200-0000D6010000}"/>
    <hyperlink ref="S337" r:id="rId472" xr:uid="{00000000-0004-0000-0200-0000D7010000}"/>
    <hyperlink ref="F339" r:id="rId473" xr:uid="{00000000-0004-0000-0200-0000D8010000}"/>
    <hyperlink ref="G339" r:id="rId474" xr:uid="{00000000-0004-0000-0200-0000D9010000}"/>
    <hyperlink ref="S339" r:id="rId475" xr:uid="{00000000-0004-0000-0200-0000DA010000}"/>
    <hyperlink ref="F340" r:id="rId476" xr:uid="{00000000-0004-0000-0200-0000DB010000}"/>
    <hyperlink ref="S340" r:id="rId477" xr:uid="{00000000-0004-0000-0200-0000DC010000}"/>
    <hyperlink ref="F341" r:id="rId478" xr:uid="{00000000-0004-0000-0200-0000DD010000}"/>
    <hyperlink ref="S341" r:id="rId479" xr:uid="{00000000-0004-0000-0200-0000DE010000}"/>
    <hyperlink ref="S342" r:id="rId480" xr:uid="{00000000-0004-0000-0200-0000DF010000}"/>
    <hyperlink ref="G343" r:id="rId481" xr:uid="{00000000-0004-0000-0200-0000E0010000}"/>
    <hyperlink ref="F344" r:id="rId482" xr:uid="{00000000-0004-0000-0200-0000E1010000}"/>
    <hyperlink ref="G344" r:id="rId483" xr:uid="{00000000-0004-0000-0200-0000E2010000}"/>
    <hyperlink ref="S344" r:id="rId484" xr:uid="{00000000-0004-0000-0200-0000E3010000}"/>
    <hyperlink ref="F346" r:id="rId485" xr:uid="{00000000-0004-0000-0200-0000E4010000}"/>
    <hyperlink ref="S346" r:id="rId486" xr:uid="{00000000-0004-0000-0200-0000E5010000}"/>
    <hyperlink ref="S347" r:id="rId487" xr:uid="{00000000-0004-0000-0200-0000E6010000}"/>
    <hyperlink ref="F348" r:id="rId488" xr:uid="{00000000-0004-0000-0200-0000E7010000}"/>
    <hyperlink ref="G348" r:id="rId489" xr:uid="{00000000-0004-0000-0200-0000E8010000}"/>
    <hyperlink ref="S348" r:id="rId490" xr:uid="{00000000-0004-0000-0200-0000E9010000}"/>
    <hyperlink ref="F350" r:id="rId491" xr:uid="{00000000-0004-0000-0200-0000EA010000}"/>
    <hyperlink ref="S350" r:id="rId492" xr:uid="{00000000-0004-0000-0200-0000EB010000}"/>
    <hyperlink ref="F351" r:id="rId493" xr:uid="{00000000-0004-0000-0200-0000EC010000}"/>
    <hyperlink ref="G351" r:id="rId494" xr:uid="{00000000-0004-0000-0200-0000ED010000}"/>
    <hyperlink ref="S351" r:id="rId495" xr:uid="{00000000-0004-0000-0200-0000EE010000}"/>
    <hyperlink ref="F353" r:id="rId496" xr:uid="{00000000-0004-0000-0200-0000EF010000}"/>
    <hyperlink ref="S353" r:id="rId497" xr:uid="{00000000-0004-0000-0200-0000F0010000}"/>
    <hyperlink ref="F354" r:id="rId498" xr:uid="{00000000-0004-0000-0200-0000F1010000}"/>
    <hyperlink ref="G354" r:id="rId499" xr:uid="{00000000-0004-0000-0200-0000F2010000}"/>
    <hyperlink ref="S354" r:id="rId500" xr:uid="{00000000-0004-0000-0200-0000F3010000}"/>
    <hyperlink ref="F355" r:id="rId501" location="?ref=rss&amp;format=simple&amp;link=link" xr:uid="{00000000-0004-0000-0200-0000F4010000}"/>
    <hyperlink ref="S355" r:id="rId502" xr:uid="{00000000-0004-0000-0200-0000F5010000}"/>
    <hyperlink ref="F357" r:id="rId503" xr:uid="{00000000-0004-0000-0200-0000F6010000}"/>
    <hyperlink ref="F359" r:id="rId504" xr:uid="{00000000-0004-0000-0200-0000F7010000}"/>
    <hyperlink ref="S359" r:id="rId505" xr:uid="{00000000-0004-0000-0200-0000F8010000}"/>
    <hyperlink ref="F361" r:id="rId506" xr:uid="{00000000-0004-0000-0200-0000F9010000}"/>
    <hyperlink ref="G361" r:id="rId507" xr:uid="{00000000-0004-0000-0200-0000FA010000}"/>
    <hyperlink ref="S361" r:id="rId508" xr:uid="{00000000-0004-0000-0200-0000FB010000}"/>
    <hyperlink ref="G364" r:id="rId509" xr:uid="{00000000-0004-0000-0200-0000FC010000}"/>
    <hyperlink ref="S364" r:id="rId510" xr:uid="{00000000-0004-0000-0200-0000FD010000}"/>
    <hyperlink ref="S365" r:id="rId511" xr:uid="{00000000-0004-0000-0200-0000FE010000}"/>
    <hyperlink ref="F366" r:id="rId512" xr:uid="{00000000-0004-0000-0200-0000FF010000}"/>
    <hyperlink ref="S366" r:id="rId513" xr:uid="{00000000-0004-0000-0200-000000020000}"/>
    <hyperlink ref="F367" r:id="rId514" xr:uid="{00000000-0004-0000-0200-000001020000}"/>
    <hyperlink ref="S367" r:id="rId515" xr:uid="{00000000-0004-0000-0200-000002020000}"/>
    <hyperlink ref="F368" r:id="rId516" xr:uid="{00000000-0004-0000-0200-000003020000}"/>
    <hyperlink ref="G368" r:id="rId517" xr:uid="{00000000-0004-0000-0200-000004020000}"/>
    <hyperlink ref="S368" r:id="rId518" xr:uid="{00000000-0004-0000-0200-000005020000}"/>
    <hyperlink ref="F369" r:id="rId519" xr:uid="{00000000-0004-0000-0200-000006020000}"/>
    <hyperlink ref="S369" r:id="rId520" xr:uid="{00000000-0004-0000-0200-000007020000}"/>
    <hyperlink ref="F370" r:id="rId521" xr:uid="{00000000-0004-0000-0200-000008020000}"/>
    <hyperlink ref="S370" r:id="rId522" xr:uid="{00000000-0004-0000-0200-000009020000}"/>
    <hyperlink ref="F372" r:id="rId523" xr:uid="{00000000-0004-0000-0200-00000A020000}"/>
    <hyperlink ref="S372" r:id="rId524" xr:uid="{00000000-0004-0000-0200-00000B020000}"/>
    <hyperlink ref="G373" r:id="rId525" xr:uid="{00000000-0004-0000-0200-00000C020000}"/>
    <hyperlink ref="F374" r:id="rId526" xr:uid="{00000000-0004-0000-0200-00000D020000}"/>
    <hyperlink ref="F375" r:id="rId527" xr:uid="{00000000-0004-0000-0200-00000E020000}"/>
    <hyperlink ref="F376" r:id="rId528" xr:uid="{00000000-0004-0000-0200-00000F020000}"/>
    <hyperlink ref="F378" r:id="rId529" xr:uid="{00000000-0004-0000-0200-000010020000}"/>
    <hyperlink ref="S378" r:id="rId530" xr:uid="{00000000-0004-0000-0200-000011020000}"/>
    <hyperlink ref="F379" r:id="rId531" xr:uid="{00000000-0004-0000-0200-000012020000}"/>
    <hyperlink ref="S379" r:id="rId532" xr:uid="{00000000-0004-0000-0200-000013020000}"/>
    <hyperlink ref="F380" r:id="rId533" xr:uid="{00000000-0004-0000-0200-000014020000}"/>
    <hyperlink ref="F381" r:id="rId534" xr:uid="{00000000-0004-0000-0200-000015020000}"/>
    <hyperlink ref="F383" r:id="rId535" xr:uid="{00000000-0004-0000-0200-000016020000}"/>
    <hyperlink ref="S383" r:id="rId536" xr:uid="{00000000-0004-0000-0200-000017020000}"/>
    <hyperlink ref="G386" r:id="rId537" xr:uid="{00000000-0004-0000-0200-000018020000}"/>
    <hyperlink ref="F387" r:id="rId538" xr:uid="{00000000-0004-0000-0200-000019020000}"/>
    <hyperlink ref="F388" r:id="rId539" xr:uid="{00000000-0004-0000-0200-00001A020000}"/>
    <hyperlink ref="F390" r:id="rId540" xr:uid="{00000000-0004-0000-0200-00001B020000}"/>
    <hyperlink ref="S390" r:id="rId541" xr:uid="{00000000-0004-0000-0200-00001C020000}"/>
    <hyperlink ref="F391" r:id="rId542" xr:uid="{00000000-0004-0000-0200-00001D020000}"/>
    <hyperlink ref="S393" r:id="rId543" xr:uid="{00000000-0004-0000-0200-00001E020000}"/>
    <hyperlink ref="F394" r:id="rId544" xr:uid="{00000000-0004-0000-0200-00001F020000}"/>
    <hyperlink ref="S394" r:id="rId545" xr:uid="{00000000-0004-0000-0200-000020020000}"/>
    <hyperlink ref="F396" r:id="rId546" xr:uid="{00000000-0004-0000-0200-000021020000}"/>
    <hyperlink ref="F398" r:id="rId547" xr:uid="{00000000-0004-0000-0200-000022020000}"/>
    <hyperlink ref="F399" r:id="rId548" xr:uid="{00000000-0004-0000-0200-000023020000}"/>
    <hyperlink ref="S399" r:id="rId549" xr:uid="{00000000-0004-0000-0200-000024020000}"/>
    <hyperlink ref="F400" r:id="rId550" xr:uid="{00000000-0004-0000-0200-000025020000}"/>
    <hyperlink ref="F401" r:id="rId551" xr:uid="{00000000-0004-0000-0200-000026020000}"/>
    <hyperlink ref="G402" r:id="rId552" xr:uid="{00000000-0004-0000-0200-000027020000}"/>
    <hyperlink ref="F403" r:id="rId553" xr:uid="{00000000-0004-0000-0200-000028020000}"/>
    <hyperlink ref="F404" r:id="rId554" xr:uid="{00000000-0004-0000-0200-000029020000}"/>
    <hyperlink ref="G404" r:id="rId555" xr:uid="{00000000-0004-0000-0200-00002A020000}"/>
    <hyperlink ref="S406" r:id="rId556" xr:uid="{00000000-0004-0000-0200-00002B020000}"/>
    <hyperlink ref="G407" r:id="rId557" xr:uid="{00000000-0004-0000-0200-00002C020000}"/>
    <hyperlink ref="S407" r:id="rId558" xr:uid="{00000000-0004-0000-0200-00002D020000}"/>
    <hyperlink ref="F408" r:id="rId559" xr:uid="{00000000-0004-0000-0200-00002E020000}"/>
    <hyperlink ref="S408" r:id="rId560" xr:uid="{00000000-0004-0000-0200-00002F020000}"/>
    <hyperlink ref="F410" r:id="rId561" xr:uid="{00000000-0004-0000-0200-000030020000}"/>
    <hyperlink ref="G411" r:id="rId562" xr:uid="{00000000-0004-0000-0200-000031020000}"/>
    <hyperlink ref="F413" r:id="rId563" xr:uid="{00000000-0004-0000-0200-000032020000}"/>
    <hyperlink ref="F414" r:id="rId564" xr:uid="{00000000-0004-0000-0200-000033020000}"/>
    <hyperlink ref="G415" r:id="rId565" xr:uid="{00000000-0004-0000-0200-000034020000}"/>
    <hyperlink ref="S415" r:id="rId566" xr:uid="{00000000-0004-0000-0200-000035020000}"/>
    <hyperlink ref="F416" r:id="rId567" xr:uid="{00000000-0004-0000-0200-000036020000}"/>
    <hyperlink ref="G416" r:id="rId568" xr:uid="{00000000-0004-0000-0200-000037020000}"/>
    <hyperlink ref="S416" r:id="rId569" xr:uid="{00000000-0004-0000-0200-000038020000}"/>
    <hyperlink ref="F417" r:id="rId570" xr:uid="{00000000-0004-0000-0200-000039020000}"/>
    <hyperlink ref="F418" r:id="rId571" xr:uid="{00000000-0004-0000-0200-00003A020000}"/>
    <hyperlink ref="G420" r:id="rId572" xr:uid="{00000000-0004-0000-0200-00003B020000}"/>
    <hyperlink ref="S420" r:id="rId573" xr:uid="{00000000-0004-0000-0200-00003C020000}"/>
    <hyperlink ref="F421" r:id="rId574" xr:uid="{00000000-0004-0000-0200-00003D020000}"/>
    <hyperlink ref="G421" r:id="rId575" xr:uid="{00000000-0004-0000-0200-00003E020000}"/>
    <hyperlink ref="S421" r:id="rId576" xr:uid="{00000000-0004-0000-0200-00003F020000}"/>
    <hyperlink ref="F423" r:id="rId577" xr:uid="{00000000-0004-0000-0200-000040020000}"/>
    <hyperlink ref="G424" r:id="rId578" xr:uid="{00000000-0004-0000-0200-000041020000}"/>
    <hyperlink ref="G425" r:id="rId579" xr:uid="{00000000-0004-0000-0200-000042020000}"/>
    <hyperlink ref="F427" r:id="rId580" xr:uid="{00000000-0004-0000-0200-000043020000}"/>
    <hyperlink ref="F428" r:id="rId581" xr:uid="{00000000-0004-0000-0200-000044020000}"/>
    <hyperlink ref="F429" r:id="rId582" xr:uid="{00000000-0004-0000-0200-000045020000}"/>
    <hyperlink ref="S429" r:id="rId583" xr:uid="{00000000-0004-0000-0200-000046020000}"/>
    <hyperlink ref="F430" r:id="rId584" xr:uid="{00000000-0004-0000-0200-000047020000}"/>
    <hyperlink ref="G430" r:id="rId585" xr:uid="{00000000-0004-0000-0200-000048020000}"/>
    <hyperlink ref="S431" r:id="rId586" xr:uid="{00000000-0004-0000-0200-000049020000}"/>
    <hyperlink ref="F432" r:id="rId587" xr:uid="{00000000-0004-0000-0200-00004A020000}"/>
    <hyperlink ref="G434" r:id="rId588" xr:uid="{00000000-0004-0000-0200-00004B020000}"/>
    <hyperlink ref="S434" r:id="rId589" xr:uid="{00000000-0004-0000-0200-00004C020000}"/>
    <hyperlink ref="G435" r:id="rId590" xr:uid="{00000000-0004-0000-0200-00004D020000}"/>
    <hyperlink ref="F437" r:id="rId591" xr:uid="{00000000-0004-0000-0200-00004E020000}"/>
    <hyperlink ref="F438" r:id="rId592" xr:uid="{00000000-0004-0000-0200-00004F020000}"/>
    <hyperlink ref="G438" r:id="rId593" xr:uid="{00000000-0004-0000-0200-000050020000}"/>
    <hyperlink ref="F439" r:id="rId594" xr:uid="{00000000-0004-0000-0200-000051020000}"/>
    <hyperlink ref="G439" r:id="rId595" xr:uid="{00000000-0004-0000-0200-000052020000}"/>
    <hyperlink ref="S439" r:id="rId596" xr:uid="{00000000-0004-0000-0200-000053020000}"/>
    <hyperlink ref="S440" r:id="rId597" xr:uid="{00000000-0004-0000-0200-000054020000}"/>
    <hyperlink ref="F441" r:id="rId598" xr:uid="{00000000-0004-0000-0200-000055020000}"/>
    <hyperlink ref="G442" r:id="rId599" xr:uid="{00000000-0004-0000-0200-000056020000}"/>
    <hyperlink ref="F443" r:id="rId600" xr:uid="{00000000-0004-0000-0200-000057020000}"/>
    <hyperlink ref="F444" r:id="rId601" xr:uid="{00000000-0004-0000-0200-000058020000}"/>
    <hyperlink ref="G444" r:id="rId602" xr:uid="{00000000-0004-0000-0200-000059020000}"/>
    <hyperlink ref="S444" r:id="rId603" xr:uid="{00000000-0004-0000-0200-00005A020000}"/>
    <hyperlink ref="G445" r:id="rId604" xr:uid="{00000000-0004-0000-0200-00005B020000}"/>
    <hyperlink ref="S445" r:id="rId605" xr:uid="{00000000-0004-0000-0200-00005C020000}"/>
    <hyperlink ref="G446" r:id="rId606" xr:uid="{00000000-0004-0000-0200-00005D020000}"/>
    <hyperlink ref="S446" r:id="rId607" xr:uid="{00000000-0004-0000-0200-00005E020000}"/>
    <hyperlink ref="G447" r:id="rId608" xr:uid="{00000000-0004-0000-0200-00005F020000}"/>
    <hyperlink ref="F448" r:id="rId609" xr:uid="{00000000-0004-0000-0200-000060020000}"/>
    <hyperlink ref="G450" r:id="rId610" xr:uid="{00000000-0004-0000-0200-000061020000}"/>
    <hyperlink ref="S450" r:id="rId611" xr:uid="{00000000-0004-0000-0200-000062020000}"/>
    <hyperlink ref="F451" r:id="rId612" xr:uid="{00000000-0004-0000-0200-000063020000}"/>
    <hyperlink ref="F452" r:id="rId613" xr:uid="{00000000-0004-0000-0200-000064020000}"/>
    <hyperlink ref="S452" r:id="rId614" xr:uid="{00000000-0004-0000-0200-000065020000}"/>
    <hyperlink ref="F453" r:id="rId615" location=".W_c3xUfRzpe.twitter" xr:uid="{00000000-0004-0000-0200-000066020000}"/>
    <hyperlink ref="F454" r:id="rId616" xr:uid="{00000000-0004-0000-0200-000067020000}"/>
    <hyperlink ref="S454" r:id="rId617" xr:uid="{00000000-0004-0000-0200-000068020000}"/>
    <hyperlink ref="S455" r:id="rId618" xr:uid="{00000000-0004-0000-0200-000069020000}"/>
    <hyperlink ref="F456" r:id="rId619" xr:uid="{00000000-0004-0000-0200-00006A020000}"/>
    <hyperlink ref="F457" r:id="rId620" xr:uid="{00000000-0004-0000-0200-00006B020000}"/>
    <hyperlink ref="F458" r:id="rId621" xr:uid="{00000000-0004-0000-0200-00006C020000}"/>
    <hyperlink ref="S458" r:id="rId622" xr:uid="{00000000-0004-0000-0200-00006D020000}"/>
    <hyperlink ref="S459" r:id="rId623" xr:uid="{00000000-0004-0000-0200-00006E020000}"/>
    <hyperlink ref="G460" r:id="rId624" xr:uid="{00000000-0004-0000-0200-00006F020000}"/>
    <hyperlink ref="F462" r:id="rId625" xr:uid="{00000000-0004-0000-0200-000070020000}"/>
    <hyperlink ref="F463" r:id="rId626" xr:uid="{00000000-0004-0000-0200-000071020000}"/>
    <hyperlink ref="S463" r:id="rId627" xr:uid="{00000000-0004-0000-0200-000072020000}"/>
    <hyperlink ref="G464" r:id="rId628" xr:uid="{00000000-0004-0000-0200-000073020000}"/>
    <hyperlink ref="S464" r:id="rId629" xr:uid="{00000000-0004-0000-0200-000074020000}"/>
    <hyperlink ref="F465" r:id="rId630" xr:uid="{00000000-0004-0000-0200-000075020000}"/>
    <hyperlink ref="F467" r:id="rId631" xr:uid="{00000000-0004-0000-0200-000076020000}"/>
    <hyperlink ref="G467" r:id="rId632" xr:uid="{00000000-0004-0000-0200-000077020000}"/>
    <hyperlink ref="F468" r:id="rId633" xr:uid="{00000000-0004-0000-0200-000078020000}"/>
    <hyperlink ref="G468" r:id="rId634" xr:uid="{00000000-0004-0000-0200-000079020000}"/>
    <hyperlink ref="F469" r:id="rId635" xr:uid="{00000000-0004-0000-0200-00007A020000}"/>
    <hyperlink ref="F470" r:id="rId636" xr:uid="{00000000-0004-0000-0200-00007B020000}"/>
    <hyperlink ref="C473" r:id="rId637" xr:uid="{00000000-0004-0000-0200-00007C020000}"/>
    <hyperlink ref="F473" r:id="rId638" xr:uid="{00000000-0004-0000-0200-00007D020000}"/>
    <hyperlink ref="G473" r:id="rId639" xr:uid="{00000000-0004-0000-0200-00007E020000}"/>
    <hyperlink ref="S473" r:id="rId640" xr:uid="{00000000-0004-0000-0200-00007F020000}"/>
    <hyperlink ref="F474" r:id="rId641" xr:uid="{00000000-0004-0000-0200-000080020000}"/>
    <hyperlink ref="G474" r:id="rId642" xr:uid="{00000000-0004-0000-0200-000081020000}"/>
    <hyperlink ref="S474" r:id="rId643" xr:uid="{00000000-0004-0000-0200-000082020000}"/>
    <hyperlink ref="F477" r:id="rId644" xr:uid="{00000000-0004-0000-0200-000083020000}"/>
    <hyperlink ref="G477" r:id="rId645" xr:uid="{00000000-0004-0000-0200-000084020000}"/>
    <hyperlink ref="S477" r:id="rId646" xr:uid="{00000000-0004-0000-0200-000085020000}"/>
    <hyperlink ref="F478" r:id="rId647" xr:uid="{00000000-0004-0000-0200-000086020000}"/>
    <hyperlink ref="F479" r:id="rId648" xr:uid="{00000000-0004-0000-0200-000087020000}"/>
    <hyperlink ref="S479" r:id="rId649" xr:uid="{00000000-0004-0000-0200-000088020000}"/>
    <hyperlink ref="F481" r:id="rId650" xr:uid="{00000000-0004-0000-0200-000089020000}"/>
    <hyperlink ref="F482" r:id="rId651" xr:uid="{00000000-0004-0000-0200-00008A020000}"/>
    <hyperlink ref="F483" r:id="rId652" xr:uid="{00000000-0004-0000-0200-00008B020000}"/>
    <hyperlink ref="F484" r:id="rId653" xr:uid="{00000000-0004-0000-0200-00008C020000}"/>
    <hyperlink ref="F485" r:id="rId654" xr:uid="{00000000-0004-0000-0200-00008D020000}"/>
    <hyperlink ref="F486" r:id="rId655" xr:uid="{00000000-0004-0000-0200-00008E020000}"/>
    <hyperlink ref="G486" r:id="rId656" xr:uid="{00000000-0004-0000-0200-00008F020000}"/>
    <hyperlink ref="S486" r:id="rId657" xr:uid="{00000000-0004-0000-0200-000090020000}"/>
    <hyperlink ref="F487" r:id="rId658" xr:uid="{00000000-0004-0000-0200-000091020000}"/>
    <hyperlink ref="F488" r:id="rId659" xr:uid="{00000000-0004-0000-0200-000092020000}"/>
    <hyperlink ref="F489" r:id="rId660" xr:uid="{00000000-0004-0000-0200-000093020000}"/>
    <hyperlink ref="F490" r:id="rId661" xr:uid="{00000000-0004-0000-0200-000094020000}"/>
    <hyperlink ref="F491" r:id="rId662" xr:uid="{00000000-0004-0000-0200-000095020000}"/>
    <hyperlink ref="F492" r:id="rId663" xr:uid="{00000000-0004-0000-0200-000096020000}"/>
    <hyperlink ref="F493" r:id="rId664" xr:uid="{00000000-0004-0000-0200-000097020000}"/>
    <hyperlink ref="G494" r:id="rId665" xr:uid="{00000000-0004-0000-0200-000098020000}"/>
    <hyperlink ref="S494" r:id="rId666" xr:uid="{00000000-0004-0000-0200-000099020000}"/>
    <hyperlink ref="S496" r:id="rId667" xr:uid="{00000000-0004-0000-0200-00009A020000}"/>
    <hyperlink ref="F497" r:id="rId668" xr:uid="{00000000-0004-0000-0200-00009B020000}"/>
    <hyperlink ref="F500" r:id="rId669" xr:uid="{00000000-0004-0000-0200-00009C020000}"/>
    <hyperlink ref="G500" r:id="rId670" xr:uid="{00000000-0004-0000-0200-00009D020000}"/>
    <hyperlink ref="F501" r:id="rId671" xr:uid="{00000000-0004-0000-0200-00009E020000}"/>
    <hyperlink ref="F502" r:id="rId672" location=".W_ci9OSIBbc.twitter" xr:uid="{00000000-0004-0000-0200-00009F020000}"/>
    <hyperlink ref="F503" r:id="rId673" location=".W_ci4lwMpZU.twitter" xr:uid="{00000000-0004-0000-0200-0000A0020000}"/>
    <hyperlink ref="S504" r:id="rId674" xr:uid="{00000000-0004-0000-0200-0000A1020000}"/>
    <hyperlink ref="S506" r:id="rId675" xr:uid="{00000000-0004-0000-0200-0000A2020000}"/>
    <hyperlink ref="F507" r:id="rId676" xr:uid="{00000000-0004-0000-0200-0000A3020000}"/>
    <hyperlink ref="F508" r:id="rId677" xr:uid="{00000000-0004-0000-0200-0000A4020000}"/>
    <hyperlink ref="F509" r:id="rId678" xr:uid="{00000000-0004-0000-0200-0000A5020000}"/>
    <hyperlink ref="S509" r:id="rId679" xr:uid="{00000000-0004-0000-0200-0000A6020000}"/>
    <hyperlink ref="F510" r:id="rId680" xr:uid="{00000000-0004-0000-0200-0000A7020000}"/>
    <hyperlink ref="S512" r:id="rId681" xr:uid="{00000000-0004-0000-0200-0000A8020000}"/>
    <hyperlink ref="S514" r:id="rId682" xr:uid="{00000000-0004-0000-0200-0000A9020000}"/>
    <hyperlink ref="F515" r:id="rId683" xr:uid="{00000000-0004-0000-0200-0000AA020000}"/>
    <hyperlink ref="S515" r:id="rId684" xr:uid="{00000000-0004-0000-0200-0000AB020000}"/>
    <hyperlink ref="F518" r:id="rId685" xr:uid="{00000000-0004-0000-0200-0000AC020000}"/>
    <hyperlink ref="F519" r:id="rId686" xr:uid="{00000000-0004-0000-0200-0000AD020000}"/>
    <hyperlink ref="S520" r:id="rId687" xr:uid="{00000000-0004-0000-0200-0000AE020000}"/>
    <hyperlink ref="F521" r:id="rId688" xr:uid="{00000000-0004-0000-0200-0000AF020000}"/>
    <hyperlink ref="F523" r:id="rId689" xr:uid="{00000000-0004-0000-0200-0000B0020000}"/>
    <hyperlink ref="S523" r:id="rId690" xr:uid="{00000000-0004-0000-0200-0000B1020000}"/>
    <hyperlink ref="C524" r:id="rId691" xr:uid="{00000000-0004-0000-0200-0000B2020000}"/>
    <hyperlink ref="F524" r:id="rId692" xr:uid="{00000000-0004-0000-0200-0000B3020000}"/>
    <hyperlink ref="G524" r:id="rId693" xr:uid="{00000000-0004-0000-0200-0000B4020000}"/>
    <hyperlink ref="S524" r:id="rId694" xr:uid="{00000000-0004-0000-0200-0000B5020000}"/>
    <hyperlink ref="F525" r:id="rId695" xr:uid="{00000000-0004-0000-0200-0000B6020000}"/>
    <hyperlink ref="G525" r:id="rId696" xr:uid="{00000000-0004-0000-0200-0000B7020000}"/>
    <hyperlink ref="F527" r:id="rId697" xr:uid="{00000000-0004-0000-0200-0000B8020000}"/>
    <hyperlink ref="S527" r:id="rId698" xr:uid="{00000000-0004-0000-0200-0000B9020000}"/>
    <hyperlink ref="F528" r:id="rId699" xr:uid="{00000000-0004-0000-0200-0000BA020000}"/>
    <hyperlink ref="G528" r:id="rId700" xr:uid="{00000000-0004-0000-0200-0000BB020000}"/>
    <hyperlink ref="F529" r:id="rId701" xr:uid="{00000000-0004-0000-0200-0000BC020000}"/>
    <hyperlink ref="G529" r:id="rId702" xr:uid="{00000000-0004-0000-0200-0000BD020000}"/>
    <hyperlink ref="F531" r:id="rId703" xr:uid="{00000000-0004-0000-0200-0000BE020000}"/>
    <hyperlink ref="F532" r:id="rId704" xr:uid="{00000000-0004-0000-0200-0000BF020000}"/>
    <hyperlink ref="G532" r:id="rId705" xr:uid="{00000000-0004-0000-0200-0000C0020000}"/>
    <hyperlink ref="S532" r:id="rId706" xr:uid="{00000000-0004-0000-0200-0000C1020000}"/>
    <hyperlink ref="S533" r:id="rId707" xr:uid="{00000000-0004-0000-0200-0000C2020000}"/>
    <hyperlink ref="F534" r:id="rId708" xr:uid="{00000000-0004-0000-0200-0000C3020000}"/>
    <hyperlink ref="F535" r:id="rId709" xr:uid="{00000000-0004-0000-0200-0000C4020000}"/>
    <hyperlink ref="F536" r:id="rId710" xr:uid="{00000000-0004-0000-0200-0000C5020000}"/>
    <hyperlink ref="G538" r:id="rId711" xr:uid="{00000000-0004-0000-0200-0000C6020000}"/>
    <hyperlink ref="F540" r:id="rId712" xr:uid="{00000000-0004-0000-0200-0000C7020000}"/>
    <hyperlink ref="G540" r:id="rId713" xr:uid="{00000000-0004-0000-0200-0000C8020000}"/>
    <hyperlink ref="S540" r:id="rId714" xr:uid="{00000000-0004-0000-0200-0000C9020000}"/>
    <hyperlink ref="G541" r:id="rId715" xr:uid="{00000000-0004-0000-0200-0000CA020000}"/>
    <hyperlink ref="F542" r:id="rId716" xr:uid="{00000000-0004-0000-0200-0000CB020000}"/>
    <hyperlink ref="G542" r:id="rId717" xr:uid="{00000000-0004-0000-0200-0000CC020000}"/>
    <hyperlink ref="F544" r:id="rId718" xr:uid="{00000000-0004-0000-0200-0000CD020000}"/>
    <hyperlink ref="G545" r:id="rId719" xr:uid="{00000000-0004-0000-0200-0000CE020000}"/>
    <hyperlink ref="S545" r:id="rId720" xr:uid="{00000000-0004-0000-0200-0000CF020000}"/>
    <hyperlink ref="F546" r:id="rId721" xr:uid="{00000000-0004-0000-0200-0000D0020000}"/>
    <hyperlink ref="S546" r:id="rId722" xr:uid="{00000000-0004-0000-0200-0000D1020000}"/>
    <hyperlink ref="F547" r:id="rId723" xr:uid="{00000000-0004-0000-0200-0000D2020000}"/>
    <hyperlink ref="F548" r:id="rId724" xr:uid="{00000000-0004-0000-0200-0000D3020000}"/>
    <hyperlink ref="F549" r:id="rId725" xr:uid="{00000000-0004-0000-0200-0000D4020000}"/>
    <hyperlink ref="G549" r:id="rId726" xr:uid="{00000000-0004-0000-0200-0000D5020000}"/>
    <hyperlink ref="S549" r:id="rId727" xr:uid="{00000000-0004-0000-0200-0000D6020000}"/>
    <hyperlink ref="F550" r:id="rId728" xr:uid="{00000000-0004-0000-0200-0000D7020000}"/>
    <hyperlink ref="R550" r:id="rId729" xr:uid="{00000000-0004-0000-0200-0000D8020000}"/>
    <hyperlink ref="S550" r:id="rId730" xr:uid="{00000000-0004-0000-0200-0000D9020000}"/>
    <hyperlink ref="F552" r:id="rId731" xr:uid="{00000000-0004-0000-0200-0000DA020000}"/>
    <hyperlink ref="F553" r:id="rId732" xr:uid="{00000000-0004-0000-0200-0000DB020000}"/>
    <hyperlink ref="G554" r:id="rId733" xr:uid="{00000000-0004-0000-0200-0000DC020000}"/>
    <hyperlink ref="F555" r:id="rId734" xr:uid="{00000000-0004-0000-0200-0000DD020000}"/>
    <hyperlink ref="S556" r:id="rId735" xr:uid="{00000000-0004-0000-0200-0000DE020000}"/>
    <hyperlink ref="F557" r:id="rId736" xr:uid="{00000000-0004-0000-0200-0000DF020000}"/>
    <hyperlink ref="S557" r:id="rId737" xr:uid="{00000000-0004-0000-0200-0000E0020000}"/>
    <hyperlink ref="F558" r:id="rId738" xr:uid="{00000000-0004-0000-0200-0000E1020000}"/>
    <hyperlink ref="F559" r:id="rId739" xr:uid="{00000000-0004-0000-0200-0000E2020000}"/>
    <hyperlink ref="S559" r:id="rId740" xr:uid="{00000000-0004-0000-0200-0000E3020000}"/>
    <hyperlink ref="G560" r:id="rId741" xr:uid="{00000000-0004-0000-0200-0000E4020000}"/>
    <hyperlink ref="F561" r:id="rId742" xr:uid="{00000000-0004-0000-0200-0000E5020000}"/>
    <hyperlink ref="F562" r:id="rId743" xr:uid="{00000000-0004-0000-0200-0000E6020000}"/>
    <hyperlink ref="F563" r:id="rId744" xr:uid="{00000000-0004-0000-0200-0000E7020000}"/>
    <hyperlink ref="S564" r:id="rId745" xr:uid="{00000000-0004-0000-0200-0000E8020000}"/>
    <hyperlink ref="F565" r:id="rId746" xr:uid="{00000000-0004-0000-0200-0000E9020000}"/>
    <hyperlink ref="G566" r:id="rId747" xr:uid="{00000000-0004-0000-0200-0000EA020000}"/>
    <hyperlink ref="S566" r:id="rId748" xr:uid="{00000000-0004-0000-0200-0000EB020000}"/>
    <hyperlink ref="F567" r:id="rId749" xr:uid="{00000000-0004-0000-0200-0000EC020000}"/>
    <hyperlink ref="G567" r:id="rId750" xr:uid="{00000000-0004-0000-0200-0000ED020000}"/>
    <hyperlink ref="S567" r:id="rId751" xr:uid="{00000000-0004-0000-0200-0000EE020000}"/>
    <hyperlink ref="F568" r:id="rId752" xr:uid="{00000000-0004-0000-0200-0000EF020000}"/>
    <hyperlink ref="G568" r:id="rId753" xr:uid="{00000000-0004-0000-0200-0000F0020000}"/>
    <hyperlink ref="F569" r:id="rId754" xr:uid="{00000000-0004-0000-0200-0000F1020000}"/>
    <hyperlink ref="G569" r:id="rId755" xr:uid="{00000000-0004-0000-0200-0000F2020000}"/>
    <hyperlink ref="S569" r:id="rId756" xr:uid="{00000000-0004-0000-0200-0000F3020000}"/>
    <hyperlink ref="G570" r:id="rId757" xr:uid="{00000000-0004-0000-0200-0000F4020000}"/>
    <hyperlink ref="F571" r:id="rId758" xr:uid="{00000000-0004-0000-0200-0000F5020000}"/>
    <hyperlink ref="F572" r:id="rId759" xr:uid="{00000000-0004-0000-0200-0000F6020000}"/>
    <hyperlink ref="F573" r:id="rId760" xr:uid="{00000000-0004-0000-0200-0000F7020000}"/>
    <hyperlink ref="G574" r:id="rId761" xr:uid="{00000000-0004-0000-0200-0000F8020000}"/>
    <hyperlink ref="S574" r:id="rId762" xr:uid="{00000000-0004-0000-0200-0000F9020000}"/>
    <hyperlink ref="F575" r:id="rId763" xr:uid="{00000000-0004-0000-0200-0000FA020000}"/>
    <hyperlink ref="G576" r:id="rId764" xr:uid="{00000000-0004-0000-0200-0000FB020000}"/>
    <hyperlink ref="F577" r:id="rId765" xr:uid="{00000000-0004-0000-0200-0000FC020000}"/>
    <hyperlink ref="F578" r:id="rId766" xr:uid="{00000000-0004-0000-0200-0000FD020000}"/>
    <hyperlink ref="S578" r:id="rId767" xr:uid="{00000000-0004-0000-0200-0000FE020000}"/>
    <hyperlink ref="F581" r:id="rId768" xr:uid="{00000000-0004-0000-0200-0000FF020000}"/>
    <hyperlink ref="G581" r:id="rId769" xr:uid="{00000000-0004-0000-0200-000000030000}"/>
    <hyperlink ref="F582" r:id="rId770" xr:uid="{00000000-0004-0000-0200-000001030000}"/>
    <hyperlink ref="F583" r:id="rId771" xr:uid="{00000000-0004-0000-0200-000002030000}"/>
    <hyperlink ref="F584" r:id="rId772" xr:uid="{00000000-0004-0000-0200-000003030000}"/>
    <hyperlink ref="S584" r:id="rId773" xr:uid="{00000000-0004-0000-0200-000004030000}"/>
    <hyperlink ref="F585" r:id="rId774" xr:uid="{00000000-0004-0000-0200-000005030000}"/>
    <hyperlink ref="G585" r:id="rId775" xr:uid="{00000000-0004-0000-0200-000006030000}"/>
    <hyperlink ref="F586" r:id="rId776" xr:uid="{00000000-0004-0000-0200-000007030000}"/>
    <hyperlink ref="G586" r:id="rId777" xr:uid="{00000000-0004-0000-0200-000008030000}"/>
    <hyperlink ref="G587" r:id="rId778" xr:uid="{00000000-0004-0000-0200-000009030000}"/>
    <hyperlink ref="S587" r:id="rId779" xr:uid="{00000000-0004-0000-0200-00000A030000}"/>
    <hyperlink ref="F588" r:id="rId780" xr:uid="{00000000-0004-0000-0200-00000B030000}"/>
    <hyperlink ref="F589" r:id="rId781" xr:uid="{00000000-0004-0000-0200-00000C030000}"/>
    <hyperlink ref="S590" r:id="rId782" xr:uid="{00000000-0004-0000-0200-00000D030000}"/>
    <hyperlink ref="F591" r:id="rId783" xr:uid="{00000000-0004-0000-0200-00000E030000}"/>
    <hyperlink ref="F593" r:id="rId784" xr:uid="{00000000-0004-0000-0200-00000F030000}"/>
    <hyperlink ref="S593" r:id="rId785" xr:uid="{00000000-0004-0000-0200-000010030000}"/>
    <hyperlink ref="F594" r:id="rId786" xr:uid="{00000000-0004-0000-0200-000011030000}"/>
    <hyperlink ref="F595" r:id="rId787" xr:uid="{00000000-0004-0000-0200-000012030000}"/>
    <hyperlink ref="F596" r:id="rId788" xr:uid="{00000000-0004-0000-0200-000013030000}"/>
    <hyperlink ref="F597" r:id="rId789" xr:uid="{00000000-0004-0000-0200-000014030000}"/>
    <hyperlink ref="F598" r:id="rId790" xr:uid="{00000000-0004-0000-0200-000015030000}"/>
    <hyperlink ref="G598" r:id="rId791" xr:uid="{00000000-0004-0000-0200-000016030000}"/>
    <hyperlink ref="S598" r:id="rId792" xr:uid="{00000000-0004-0000-0200-000017030000}"/>
    <hyperlink ref="F600" r:id="rId793" xr:uid="{00000000-0004-0000-0200-000018030000}"/>
    <hyperlink ref="S600" r:id="rId794" xr:uid="{00000000-0004-0000-0200-000019030000}"/>
    <hyperlink ref="F601" r:id="rId795" xr:uid="{00000000-0004-0000-0200-00001A030000}"/>
    <hyperlink ref="S601" r:id="rId796" xr:uid="{00000000-0004-0000-0200-00001B030000}"/>
    <hyperlink ref="F602" r:id="rId797" xr:uid="{00000000-0004-0000-0200-00001C030000}"/>
    <hyperlink ref="S603" r:id="rId798" xr:uid="{00000000-0004-0000-0200-00001D030000}"/>
    <hyperlink ref="F604" r:id="rId799" xr:uid="{00000000-0004-0000-0200-00001E030000}"/>
    <hyperlink ref="G604" r:id="rId800" xr:uid="{00000000-0004-0000-0200-00001F030000}"/>
    <hyperlink ref="S604" r:id="rId801" xr:uid="{00000000-0004-0000-0200-000020030000}"/>
    <hyperlink ref="F606" r:id="rId802" xr:uid="{00000000-0004-0000-0200-000021030000}"/>
    <hyperlink ref="F609" r:id="rId803" xr:uid="{00000000-0004-0000-0200-000022030000}"/>
    <hyperlink ref="C610" r:id="rId804" xr:uid="{00000000-0004-0000-0200-000023030000}"/>
    <hyperlink ref="F610" r:id="rId805" xr:uid="{00000000-0004-0000-0200-000024030000}"/>
    <hyperlink ref="G610" r:id="rId806" xr:uid="{00000000-0004-0000-0200-000025030000}"/>
    <hyperlink ref="S610" r:id="rId807" xr:uid="{00000000-0004-0000-0200-000026030000}"/>
    <hyperlink ref="F611" r:id="rId808" xr:uid="{00000000-0004-0000-0200-000027030000}"/>
    <hyperlink ref="S611" r:id="rId809" xr:uid="{00000000-0004-0000-0200-000028030000}"/>
    <hyperlink ref="F612" r:id="rId810" xr:uid="{00000000-0004-0000-0200-000029030000}"/>
    <hyperlink ref="F613" r:id="rId811" xr:uid="{00000000-0004-0000-0200-00002A030000}"/>
    <hyperlink ref="F614" r:id="rId812" xr:uid="{00000000-0004-0000-0200-00002B030000}"/>
    <hyperlink ref="G614" r:id="rId813" xr:uid="{00000000-0004-0000-0200-00002C030000}"/>
    <hyperlink ref="S614" r:id="rId814" xr:uid="{00000000-0004-0000-0200-00002D030000}"/>
    <hyperlink ref="F615" r:id="rId815" xr:uid="{00000000-0004-0000-0200-00002E030000}"/>
    <hyperlink ref="F617" r:id="rId816" xr:uid="{00000000-0004-0000-0200-00002F030000}"/>
    <hyperlink ref="G617" r:id="rId817" xr:uid="{00000000-0004-0000-0200-000030030000}"/>
    <hyperlink ref="F618" r:id="rId818" xr:uid="{00000000-0004-0000-0200-000031030000}"/>
    <hyperlink ref="G618" r:id="rId819" xr:uid="{00000000-0004-0000-0200-000032030000}"/>
    <hyperlink ref="S618" r:id="rId820" xr:uid="{00000000-0004-0000-0200-000033030000}"/>
    <hyperlink ref="F619" r:id="rId821" xr:uid="{00000000-0004-0000-0200-000034030000}"/>
    <hyperlink ref="S620" r:id="rId822" xr:uid="{00000000-0004-0000-0200-000035030000}"/>
    <hyperlink ref="F621" r:id="rId823" xr:uid="{00000000-0004-0000-0200-000036030000}"/>
    <hyperlink ref="S621" r:id="rId824" xr:uid="{00000000-0004-0000-0200-000037030000}"/>
    <hyperlink ref="G622" r:id="rId825" xr:uid="{00000000-0004-0000-0200-000038030000}"/>
    <hyperlink ref="G623" r:id="rId826" xr:uid="{00000000-0004-0000-0200-000039030000}"/>
    <hyperlink ref="F625" r:id="rId827" xr:uid="{00000000-0004-0000-0200-00003A030000}"/>
    <hyperlink ref="F628" r:id="rId828" xr:uid="{00000000-0004-0000-0200-00003B030000}"/>
    <hyperlink ref="G628" r:id="rId829" xr:uid="{00000000-0004-0000-0200-00003C030000}"/>
    <hyperlink ref="S628" r:id="rId830" xr:uid="{00000000-0004-0000-0200-00003D030000}"/>
    <hyperlink ref="G629" r:id="rId831" xr:uid="{00000000-0004-0000-0200-00003E030000}"/>
    <hyperlink ref="S629" r:id="rId832" xr:uid="{00000000-0004-0000-0200-00003F030000}"/>
    <hyperlink ref="S630" r:id="rId833" xr:uid="{00000000-0004-0000-0200-000040030000}"/>
    <hyperlink ref="G631" r:id="rId834" xr:uid="{00000000-0004-0000-0200-000041030000}"/>
    <hyperlink ref="G632" r:id="rId835" xr:uid="{00000000-0004-0000-0200-000042030000}"/>
    <hyperlink ref="F633" r:id="rId836" xr:uid="{00000000-0004-0000-0200-000043030000}"/>
    <hyperlink ref="G633" r:id="rId837" xr:uid="{00000000-0004-0000-0200-000044030000}"/>
    <hyperlink ref="F635" r:id="rId838" xr:uid="{00000000-0004-0000-0200-000045030000}"/>
    <hyperlink ref="G635" r:id="rId839" xr:uid="{00000000-0004-0000-0200-000046030000}"/>
    <hyperlink ref="F636" r:id="rId840" xr:uid="{00000000-0004-0000-0200-000047030000}"/>
    <hyperlink ref="F637" r:id="rId841" xr:uid="{00000000-0004-0000-0200-000048030000}"/>
    <hyperlink ref="G637" r:id="rId842" xr:uid="{00000000-0004-0000-0200-000049030000}"/>
    <hyperlink ref="S637" r:id="rId843" xr:uid="{00000000-0004-0000-0200-00004A030000}"/>
    <hyperlink ref="G638" r:id="rId844" xr:uid="{00000000-0004-0000-0200-00004B030000}"/>
    <hyperlink ref="S638" r:id="rId845" xr:uid="{00000000-0004-0000-0200-00004C030000}"/>
    <hyperlink ref="S639" r:id="rId846" xr:uid="{00000000-0004-0000-0200-00004D030000}"/>
    <hyperlink ref="G640" r:id="rId847" xr:uid="{00000000-0004-0000-0200-00004E030000}"/>
    <hyperlink ref="F641" r:id="rId848" xr:uid="{00000000-0004-0000-0200-00004F030000}"/>
    <hyperlink ref="S641" r:id="rId849" xr:uid="{00000000-0004-0000-0200-000050030000}"/>
    <hyperlink ref="F642" r:id="rId850" xr:uid="{00000000-0004-0000-0200-000051030000}"/>
    <hyperlink ref="S643" r:id="rId851" xr:uid="{00000000-0004-0000-0200-000052030000}"/>
    <hyperlink ref="F644" r:id="rId852" xr:uid="{00000000-0004-0000-0200-000053030000}"/>
    <hyperlink ref="G645" r:id="rId853" xr:uid="{00000000-0004-0000-0200-000054030000}"/>
    <hyperlink ref="S645" r:id="rId854" xr:uid="{00000000-0004-0000-0200-000055030000}"/>
    <hyperlink ref="S646" r:id="rId855" xr:uid="{00000000-0004-0000-0200-000056030000}"/>
    <hyperlink ref="G648" r:id="rId856" xr:uid="{00000000-0004-0000-0200-000057030000}"/>
    <hyperlink ref="S648" r:id="rId857" xr:uid="{00000000-0004-0000-0200-000058030000}"/>
    <hyperlink ref="F649" r:id="rId858" xr:uid="{00000000-0004-0000-0200-000059030000}"/>
    <hyperlink ref="F650" r:id="rId859" xr:uid="{00000000-0004-0000-0200-00005A030000}"/>
    <hyperlink ref="S650" r:id="rId860" xr:uid="{00000000-0004-0000-0200-00005B030000}"/>
    <hyperlink ref="F651" r:id="rId861" xr:uid="{00000000-0004-0000-0200-00005C030000}"/>
    <hyperlink ref="G651" r:id="rId862" xr:uid="{00000000-0004-0000-0200-00005D030000}"/>
    <hyperlink ref="S651" r:id="rId863" xr:uid="{00000000-0004-0000-0200-00005E030000}"/>
    <hyperlink ref="F652" r:id="rId864" xr:uid="{00000000-0004-0000-0200-00005F030000}"/>
    <hyperlink ref="F653" r:id="rId865" xr:uid="{00000000-0004-0000-0200-000060030000}"/>
    <hyperlink ref="S653" r:id="rId866" xr:uid="{00000000-0004-0000-0200-000061030000}"/>
    <hyperlink ref="F654" r:id="rId867" xr:uid="{00000000-0004-0000-0200-000062030000}"/>
    <hyperlink ref="S654" r:id="rId868" xr:uid="{00000000-0004-0000-0200-000063030000}"/>
    <hyperlink ref="F655" r:id="rId869" xr:uid="{00000000-0004-0000-0200-000064030000}"/>
    <hyperlink ref="G655" r:id="rId870" xr:uid="{00000000-0004-0000-0200-000065030000}"/>
    <hyperlink ref="F656" r:id="rId871" xr:uid="{00000000-0004-0000-0200-000066030000}"/>
    <hyperlink ref="S657" r:id="rId872" xr:uid="{00000000-0004-0000-0200-000067030000}"/>
    <hyperlink ref="F658" r:id="rId873" xr:uid="{00000000-0004-0000-0200-000068030000}"/>
    <hyperlink ref="G658" r:id="rId874" xr:uid="{00000000-0004-0000-0200-000069030000}"/>
    <hyperlink ref="F659" r:id="rId875" xr:uid="{00000000-0004-0000-0200-00006A030000}"/>
    <hyperlink ref="G659" r:id="rId876" xr:uid="{00000000-0004-0000-0200-00006B030000}"/>
    <hyperlink ref="F661" r:id="rId877" xr:uid="{00000000-0004-0000-0200-00006C030000}"/>
    <hyperlink ref="G661" r:id="rId878" xr:uid="{00000000-0004-0000-0200-00006D030000}"/>
    <hyperlink ref="F663" r:id="rId879" xr:uid="{00000000-0004-0000-0200-00006E030000}"/>
    <hyperlink ref="G663" r:id="rId880" xr:uid="{00000000-0004-0000-0200-00006F030000}"/>
    <hyperlink ref="S663" r:id="rId881" xr:uid="{00000000-0004-0000-0200-000070030000}"/>
    <hyperlink ref="F666" r:id="rId882" xr:uid="{00000000-0004-0000-0200-000071030000}"/>
    <hyperlink ref="F667" r:id="rId883" xr:uid="{00000000-0004-0000-0200-000072030000}"/>
    <hyperlink ref="G667" r:id="rId884" xr:uid="{00000000-0004-0000-0200-000073030000}"/>
    <hyperlink ref="F668" r:id="rId885" xr:uid="{00000000-0004-0000-0200-000074030000}"/>
    <hyperlink ref="G669" r:id="rId886" xr:uid="{00000000-0004-0000-0200-000075030000}"/>
    <hyperlink ref="G670" r:id="rId887" xr:uid="{00000000-0004-0000-0200-000076030000}"/>
    <hyperlink ref="S670" r:id="rId888" xr:uid="{00000000-0004-0000-0200-000077030000}"/>
    <hyperlink ref="S671" r:id="rId889" xr:uid="{00000000-0004-0000-0200-000078030000}"/>
    <hyperlink ref="F672" r:id="rId890" xr:uid="{00000000-0004-0000-0200-000079030000}"/>
    <hyperlink ref="G672" r:id="rId891" xr:uid="{00000000-0004-0000-0200-00007A030000}"/>
    <hyperlink ref="S672" r:id="rId892" xr:uid="{00000000-0004-0000-0200-00007B030000}"/>
    <hyperlink ref="F673" r:id="rId893" xr:uid="{00000000-0004-0000-0200-00007C030000}"/>
    <hyperlink ref="G673" r:id="rId894" xr:uid="{00000000-0004-0000-0200-00007D030000}"/>
    <hyperlink ref="S673" r:id="rId895" xr:uid="{00000000-0004-0000-0200-00007E030000}"/>
    <hyperlink ref="C674" r:id="rId896" xr:uid="{00000000-0004-0000-0200-00007F030000}"/>
    <hyperlink ref="F674" r:id="rId897" xr:uid="{00000000-0004-0000-0200-000080030000}"/>
    <hyperlink ref="G674" r:id="rId898" xr:uid="{00000000-0004-0000-0200-000081030000}"/>
    <hyperlink ref="S674" r:id="rId899" xr:uid="{00000000-0004-0000-0200-000082030000}"/>
    <hyperlink ref="S675" r:id="rId900" xr:uid="{00000000-0004-0000-0200-000083030000}"/>
    <hyperlink ref="G676" r:id="rId901" xr:uid="{00000000-0004-0000-0200-000084030000}"/>
    <hyperlink ref="F677" r:id="rId902" xr:uid="{00000000-0004-0000-0200-000085030000}"/>
    <hyperlink ref="S677" r:id="rId903" xr:uid="{00000000-0004-0000-0200-000086030000}"/>
    <hyperlink ref="F679" r:id="rId904" xr:uid="{00000000-0004-0000-0200-000087030000}"/>
    <hyperlink ref="F680" r:id="rId905" xr:uid="{00000000-0004-0000-0200-000088030000}"/>
    <hyperlink ref="F682" r:id="rId906" xr:uid="{00000000-0004-0000-0200-000089030000}"/>
    <hyperlink ref="F683" r:id="rId907" xr:uid="{00000000-0004-0000-0200-00008A030000}"/>
    <hyperlink ref="F684" r:id="rId908" xr:uid="{00000000-0004-0000-0200-00008B030000}"/>
    <hyperlink ref="S685" r:id="rId909" xr:uid="{00000000-0004-0000-0200-00008C030000}"/>
    <hyperlink ref="F686" r:id="rId910" xr:uid="{00000000-0004-0000-0200-00008D030000}"/>
    <hyperlink ref="F687" r:id="rId911" xr:uid="{00000000-0004-0000-0200-00008E030000}"/>
    <hyperlink ref="F689" r:id="rId912" xr:uid="{00000000-0004-0000-0200-00008F030000}"/>
    <hyperlink ref="G689" r:id="rId913" xr:uid="{00000000-0004-0000-0200-000090030000}"/>
    <hyperlink ref="F690" r:id="rId914" xr:uid="{00000000-0004-0000-0200-000091030000}"/>
    <hyperlink ref="G692" r:id="rId915" xr:uid="{00000000-0004-0000-0200-000092030000}"/>
    <hyperlink ref="S692" r:id="rId916" xr:uid="{00000000-0004-0000-0200-000093030000}"/>
    <hyperlink ref="F693" r:id="rId917" xr:uid="{00000000-0004-0000-0200-000094030000}"/>
    <hyperlink ref="F694" r:id="rId918" xr:uid="{00000000-0004-0000-0200-000095030000}"/>
    <hyperlink ref="F695" r:id="rId919" xr:uid="{00000000-0004-0000-0200-000096030000}"/>
    <hyperlink ref="F697" r:id="rId920" xr:uid="{00000000-0004-0000-0200-000097030000}"/>
    <hyperlink ref="F698" r:id="rId921" xr:uid="{00000000-0004-0000-0200-000098030000}"/>
    <hyperlink ref="G699" r:id="rId922" xr:uid="{00000000-0004-0000-0200-000099030000}"/>
    <hyperlink ref="S699" r:id="rId923" xr:uid="{00000000-0004-0000-0200-00009A030000}"/>
    <hyperlink ref="F700" r:id="rId924" xr:uid="{00000000-0004-0000-0200-00009B030000}"/>
    <hyperlink ref="G700" r:id="rId925" xr:uid="{00000000-0004-0000-0200-00009C030000}"/>
    <hyperlink ref="F701" r:id="rId926" xr:uid="{00000000-0004-0000-0200-00009D030000}"/>
    <hyperlink ref="G702" r:id="rId927" xr:uid="{00000000-0004-0000-0200-00009E030000}"/>
    <hyperlink ref="S702" r:id="rId928" xr:uid="{00000000-0004-0000-0200-00009F030000}"/>
    <hyperlink ref="G704" r:id="rId929" xr:uid="{00000000-0004-0000-0200-0000A0030000}"/>
    <hyperlink ref="F705" r:id="rId930" xr:uid="{00000000-0004-0000-0200-0000A1030000}"/>
    <hyperlink ref="S705" r:id="rId931" xr:uid="{00000000-0004-0000-0200-0000A2030000}"/>
    <hyperlink ref="F706" r:id="rId932" xr:uid="{00000000-0004-0000-0200-0000A3030000}"/>
    <hyperlink ref="F707" r:id="rId933" xr:uid="{00000000-0004-0000-0200-0000A4030000}"/>
    <hyperlink ref="G707" r:id="rId934" xr:uid="{00000000-0004-0000-0200-0000A5030000}"/>
    <hyperlink ref="G708" r:id="rId935" xr:uid="{00000000-0004-0000-0200-0000A6030000}"/>
    <hyperlink ref="S708" r:id="rId936" xr:uid="{00000000-0004-0000-0200-0000A7030000}"/>
    <hyperlink ref="S709" r:id="rId937" xr:uid="{00000000-0004-0000-0200-0000A8030000}"/>
    <hyperlink ref="G710" r:id="rId938" xr:uid="{00000000-0004-0000-0200-0000A9030000}"/>
    <hyperlink ref="F711" r:id="rId939" xr:uid="{00000000-0004-0000-0200-0000AA030000}"/>
    <hyperlink ref="G711" r:id="rId940" xr:uid="{00000000-0004-0000-0200-0000AB030000}"/>
    <hyperlink ref="S711" r:id="rId941" xr:uid="{00000000-0004-0000-0200-0000AC030000}"/>
    <hyperlink ref="F712" r:id="rId942" xr:uid="{00000000-0004-0000-0200-0000AD030000}"/>
    <hyperlink ref="S712" r:id="rId943" xr:uid="{00000000-0004-0000-0200-0000AE030000}"/>
    <hyperlink ref="G714" r:id="rId944" xr:uid="{00000000-0004-0000-0200-0000AF030000}"/>
    <hyperlink ref="G715" r:id="rId945" xr:uid="{00000000-0004-0000-0200-0000B0030000}"/>
    <hyperlink ref="S715" r:id="rId946" xr:uid="{00000000-0004-0000-0200-0000B1030000}"/>
    <hyperlink ref="F717" r:id="rId947" xr:uid="{00000000-0004-0000-0200-0000B2030000}"/>
    <hyperlink ref="S717" r:id="rId948" xr:uid="{00000000-0004-0000-0200-0000B3030000}"/>
    <hyperlink ref="G718" r:id="rId949" xr:uid="{00000000-0004-0000-0200-0000B4030000}"/>
    <hyperlink ref="F719" r:id="rId950" xr:uid="{00000000-0004-0000-0200-0000B5030000}"/>
    <hyperlink ref="F722" r:id="rId951" xr:uid="{00000000-0004-0000-0200-0000B6030000}"/>
    <hyperlink ref="G723" r:id="rId952" xr:uid="{00000000-0004-0000-0200-0000B7030000}"/>
    <hyperlink ref="S723" r:id="rId953" xr:uid="{00000000-0004-0000-0200-0000B8030000}"/>
    <hyperlink ref="F724" r:id="rId954" xr:uid="{00000000-0004-0000-0200-0000B9030000}"/>
    <hyperlink ref="G724" r:id="rId955" xr:uid="{00000000-0004-0000-0200-0000BA030000}"/>
    <hyperlink ref="S724" r:id="rId956" xr:uid="{00000000-0004-0000-0200-0000BB030000}"/>
    <hyperlink ref="F725" r:id="rId957" xr:uid="{00000000-0004-0000-0200-0000BC030000}"/>
    <hyperlink ref="G726" r:id="rId958" xr:uid="{00000000-0004-0000-0200-0000BD030000}"/>
    <hyperlink ref="F727" r:id="rId959" xr:uid="{00000000-0004-0000-0200-0000BE030000}"/>
    <hyperlink ref="G727" r:id="rId960" xr:uid="{00000000-0004-0000-0200-0000BF030000}"/>
    <hyperlink ref="S727" r:id="rId961" xr:uid="{00000000-0004-0000-0200-0000C0030000}"/>
    <hyperlink ref="F728" r:id="rId962" xr:uid="{00000000-0004-0000-0200-0000C1030000}"/>
    <hyperlink ref="G729" r:id="rId963" xr:uid="{00000000-0004-0000-0200-0000C2030000}"/>
    <hyperlink ref="S730" r:id="rId964" xr:uid="{00000000-0004-0000-0200-0000C3030000}"/>
    <hyperlink ref="F731" r:id="rId965" xr:uid="{00000000-0004-0000-0200-0000C4030000}"/>
    <hyperlink ref="S731" r:id="rId966" xr:uid="{00000000-0004-0000-0200-0000C5030000}"/>
    <hyperlink ref="S733" r:id="rId967" xr:uid="{00000000-0004-0000-0200-0000C6030000}"/>
    <hyperlink ref="F734" r:id="rId968" xr:uid="{00000000-0004-0000-0200-0000C7030000}"/>
    <hyperlink ref="F735" r:id="rId969" xr:uid="{00000000-0004-0000-0200-0000C8030000}"/>
    <hyperlink ref="F736" r:id="rId970" xr:uid="{00000000-0004-0000-0200-0000C9030000}"/>
    <hyperlink ref="S736" r:id="rId971" xr:uid="{00000000-0004-0000-0200-0000CA030000}"/>
    <hyperlink ref="F737" r:id="rId972" xr:uid="{00000000-0004-0000-0200-0000CB030000}"/>
    <hyperlink ref="S737" r:id="rId973" xr:uid="{00000000-0004-0000-0200-0000CC030000}"/>
    <hyperlink ref="F738" r:id="rId974" xr:uid="{00000000-0004-0000-0200-0000CD030000}"/>
    <hyperlink ref="F739" r:id="rId975" xr:uid="{00000000-0004-0000-0200-0000CE030000}"/>
    <hyperlink ref="G739" r:id="rId976" xr:uid="{00000000-0004-0000-0200-0000CF030000}"/>
    <hyperlink ref="F740" r:id="rId977" xr:uid="{00000000-0004-0000-0200-0000D0030000}"/>
    <hyperlink ref="S740" r:id="rId978" xr:uid="{00000000-0004-0000-0200-0000D1030000}"/>
    <hyperlink ref="F741" r:id="rId979" xr:uid="{00000000-0004-0000-0200-0000D2030000}"/>
    <hyperlink ref="G741" r:id="rId980" xr:uid="{00000000-0004-0000-0200-0000D3030000}"/>
    <hyperlink ref="G742" r:id="rId981" xr:uid="{00000000-0004-0000-0200-0000D4030000}"/>
    <hyperlink ref="F743" r:id="rId982" xr:uid="{00000000-0004-0000-0200-0000D5030000}"/>
    <hyperlink ref="F744" r:id="rId983" xr:uid="{00000000-0004-0000-0200-0000D6030000}"/>
    <hyperlink ref="F745" r:id="rId984" xr:uid="{00000000-0004-0000-0200-0000D7030000}"/>
    <hyperlink ref="F747" r:id="rId985" xr:uid="{00000000-0004-0000-0200-0000D8030000}"/>
    <hyperlink ref="F748" r:id="rId986" xr:uid="{00000000-0004-0000-0200-0000D9030000}"/>
    <hyperlink ref="G748" r:id="rId987" xr:uid="{00000000-0004-0000-0200-0000DA030000}"/>
    <hyperlink ref="F749" r:id="rId988" xr:uid="{00000000-0004-0000-0200-0000DB030000}"/>
    <hyperlink ref="G750" r:id="rId989" xr:uid="{00000000-0004-0000-0200-0000DC030000}"/>
    <hyperlink ref="G751" r:id="rId990" xr:uid="{00000000-0004-0000-0200-0000DD030000}"/>
    <hyperlink ref="S751" r:id="rId991" xr:uid="{00000000-0004-0000-0200-0000DE030000}"/>
    <hyperlink ref="G752" r:id="rId992" xr:uid="{00000000-0004-0000-0200-0000DF030000}"/>
    <hyperlink ref="F753" r:id="rId993" xr:uid="{00000000-0004-0000-0200-0000E0030000}"/>
    <hyperlink ref="F754" r:id="rId994" xr:uid="{00000000-0004-0000-0200-0000E1030000}"/>
    <hyperlink ref="F755" r:id="rId995" xr:uid="{00000000-0004-0000-0200-0000E2030000}"/>
    <hyperlink ref="G756" r:id="rId996" xr:uid="{00000000-0004-0000-0200-0000E3030000}"/>
    <hyperlink ref="S756" r:id="rId997" xr:uid="{00000000-0004-0000-0200-0000E4030000}"/>
    <hyperlink ref="S758" r:id="rId998" xr:uid="{00000000-0004-0000-0200-0000E5030000}"/>
    <hyperlink ref="G759" r:id="rId999" xr:uid="{00000000-0004-0000-0200-0000E6030000}"/>
    <hyperlink ref="G761" r:id="rId1000" xr:uid="{00000000-0004-0000-0200-0000E7030000}"/>
    <hyperlink ref="S761" r:id="rId1001" xr:uid="{00000000-0004-0000-0200-0000E8030000}"/>
    <hyperlink ref="F763" r:id="rId1002" xr:uid="{00000000-0004-0000-0200-0000E9030000}"/>
    <hyperlink ref="G763" r:id="rId1003" xr:uid="{00000000-0004-0000-0200-0000EA030000}"/>
    <hyperlink ref="S763" r:id="rId1004" xr:uid="{00000000-0004-0000-0200-0000EB030000}"/>
    <hyperlink ref="F764" r:id="rId1005" xr:uid="{00000000-0004-0000-0200-0000EC030000}"/>
    <hyperlink ref="S764" r:id="rId1006" xr:uid="{00000000-0004-0000-0200-0000ED030000}"/>
    <hyperlink ref="F765" r:id="rId1007" xr:uid="{00000000-0004-0000-0200-0000EE030000}"/>
    <hyperlink ref="S765" r:id="rId1008" xr:uid="{00000000-0004-0000-0200-0000EF030000}"/>
    <hyperlink ref="F767" r:id="rId1009" xr:uid="{00000000-0004-0000-0200-0000F0030000}"/>
    <hyperlink ref="S768" r:id="rId1010" xr:uid="{00000000-0004-0000-0200-0000F1030000}"/>
    <hyperlink ref="F769" r:id="rId1011" xr:uid="{00000000-0004-0000-0200-0000F2030000}"/>
    <hyperlink ref="G769" r:id="rId1012" xr:uid="{00000000-0004-0000-0200-0000F3030000}"/>
    <hyperlink ref="G770" r:id="rId1013" xr:uid="{00000000-0004-0000-0200-0000F4030000}"/>
    <hyperlink ref="F771" r:id="rId1014" xr:uid="{00000000-0004-0000-0200-0000F5030000}"/>
    <hyperlink ref="S771" r:id="rId1015" xr:uid="{00000000-0004-0000-0200-0000F6030000}"/>
    <hyperlink ref="S772" r:id="rId1016" xr:uid="{00000000-0004-0000-0200-0000F7030000}"/>
    <hyperlink ref="G773" r:id="rId1017" xr:uid="{00000000-0004-0000-0200-0000F8030000}"/>
    <hyperlink ref="F774" r:id="rId1018" xr:uid="{00000000-0004-0000-0200-0000F9030000}"/>
    <hyperlink ref="G774" r:id="rId1019" xr:uid="{00000000-0004-0000-0200-0000FA030000}"/>
    <hyperlink ref="F775" r:id="rId1020" xr:uid="{00000000-0004-0000-0200-0000FB030000}"/>
    <hyperlink ref="S775" r:id="rId1021" xr:uid="{00000000-0004-0000-0200-0000FC030000}"/>
    <hyperlink ref="F776" r:id="rId1022" xr:uid="{00000000-0004-0000-0200-0000FD030000}"/>
    <hyperlink ref="F777" r:id="rId1023" xr:uid="{00000000-0004-0000-0200-0000FE030000}"/>
    <hyperlink ref="G780" r:id="rId1024" xr:uid="{00000000-0004-0000-0200-0000FF030000}"/>
    <hyperlink ref="S780" r:id="rId1025" xr:uid="{00000000-0004-0000-0200-000000040000}"/>
    <hyperlink ref="S781" r:id="rId1026" xr:uid="{00000000-0004-0000-0200-000001040000}"/>
    <hyperlink ref="F782" r:id="rId1027" xr:uid="{00000000-0004-0000-0200-000002040000}"/>
    <hyperlink ref="S782" r:id="rId1028" xr:uid="{00000000-0004-0000-0200-000003040000}"/>
    <hyperlink ref="G783" r:id="rId1029" xr:uid="{00000000-0004-0000-0200-000004040000}"/>
    <hyperlink ref="F784" r:id="rId1030" location=".W-iCB9Nem2Z.facebook" xr:uid="{00000000-0004-0000-0200-000005040000}"/>
    <hyperlink ref="S784" r:id="rId1031" xr:uid="{00000000-0004-0000-0200-000006040000}"/>
    <hyperlink ref="S785" r:id="rId1032" xr:uid="{00000000-0004-0000-0200-000007040000}"/>
    <hyperlink ref="F786" r:id="rId1033" xr:uid="{00000000-0004-0000-0200-000008040000}"/>
    <hyperlink ref="F787" r:id="rId1034" xr:uid="{00000000-0004-0000-0200-000009040000}"/>
    <hyperlink ref="S787" r:id="rId1035" xr:uid="{00000000-0004-0000-0200-00000A040000}"/>
    <hyperlink ref="F788" r:id="rId1036" xr:uid="{00000000-0004-0000-0200-00000B040000}"/>
    <hyperlink ref="G788" r:id="rId1037" xr:uid="{00000000-0004-0000-0200-00000C040000}"/>
    <hyperlink ref="S793" r:id="rId1038" xr:uid="{00000000-0004-0000-0200-00000D040000}"/>
    <hyperlink ref="G794" r:id="rId1039" xr:uid="{00000000-0004-0000-0200-00000E040000}"/>
    <hyperlink ref="F796" r:id="rId1040" xr:uid="{00000000-0004-0000-0200-00000F040000}"/>
    <hyperlink ref="F797" r:id="rId1041" xr:uid="{00000000-0004-0000-0200-000010040000}"/>
    <hyperlink ref="S797" r:id="rId1042" xr:uid="{00000000-0004-0000-0200-000011040000}"/>
    <hyperlink ref="F799" r:id="rId1043" xr:uid="{00000000-0004-0000-0200-000012040000}"/>
    <hyperlink ref="S799" r:id="rId1044" xr:uid="{00000000-0004-0000-0200-000013040000}"/>
    <hyperlink ref="F800" r:id="rId1045" xr:uid="{00000000-0004-0000-0200-000014040000}"/>
    <hyperlink ref="S800" r:id="rId1046" xr:uid="{00000000-0004-0000-0200-000015040000}"/>
    <hyperlink ref="F801" r:id="rId1047" xr:uid="{00000000-0004-0000-0200-000016040000}"/>
    <hyperlink ref="S802" r:id="rId1048" xr:uid="{00000000-0004-0000-0200-000017040000}"/>
    <hyperlink ref="S803" r:id="rId1049" xr:uid="{00000000-0004-0000-0200-000018040000}"/>
    <hyperlink ref="G805" r:id="rId1050" xr:uid="{00000000-0004-0000-0200-000019040000}"/>
    <hyperlink ref="S805" r:id="rId1051" xr:uid="{00000000-0004-0000-0200-00001A040000}"/>
    <hyperlink ref="G806" r:id="rId1052" xr:uid="{00000000-0004-0000-0200-00001B040000}"/>
    <hyperlink ref="F807" r:id="rId1053" xr:uid="{00000000-0004-0000-0200-00001C040000}"/>
    <hyperlink ref="G808" r:id="rId1054" xr:uid="{00000000-0004-0000-0200-00001D040000}"/>
    <hyperlink ref="S808" r:id="rId1055" xr:uid="{00000000-0004-0000-0200-00001E040000}"/>
    <hyperlink ref="F810" r:id="rId1056" xr:uid="{00000000-0004-0000-0200-00001F040000}"/>
    <hyperlink ref="F811" r:id="rId1057" xr:uid="{00000000-0004-0000-0200-000020040000}"/>
    <hyperlink ref="S811" r:id="rId1058" xr:uid="{00000000-0004-0000-0200-000021040000}"/>
    <hyperlink ref="F812" r:id="rId1059" xr:uid="{00000000-0004-0000-0200-000022040000}"/>
    <hyperlink ref="S812" r:id="rId1060" xr:uid="{00000000-0004-0000-0200-000023040000}"/>
    <hyperlink ref="F813" r:id="rId1061" xr:uid="{00000000-0004-0000-0200-000024040000}"/>
    <hyperlink ref="S813" r:id="rId1062" xr:uid="{00000000-0004-0000-0200-000025040000}"/>
    <hyperlink ref="F814" r:id="rId1063" xr:uid="{00000000-0004-0000-0200-000026040000}"/>
    <hyperlink ref="F815" r:id="rId1064" xr:uid="{00000000-0004-0000-0200-000027040000}"/>
    <hyperlink ref="F816" r:id="rId1065" xr:uid="{00000000-0004-0000-0200-000028040000}"/>
    <hyperlink ref="S816" r:id="rId1066" xr:uid="{00000000-0004-0000-0200-000029040000}"/>
    <hyperlink ref="F818" r:id="rId1067" xr:uid="{00000000-0004-0000-0200-00002A040000}"/>
    <hyperlink ref="G818" r:id="rId1068" xr:uid="{00000000-0004-0000-0200-00002B040000}"/>
    <hyperlink ref="S818" r:id="rId1069" xr:uid="{00000000-0004-0000-0200-00002C040000}"/>
    <hyperlink ref="F819" r:id="rId1070" xr:uid="{00000000-0004-0000-0200-00002D040000}"/>
    <hyperlink ref="F821" r:id="rId1071" xr:uid="{00000000-0004-0000-0200-00002E040000}"/>
    <hyperlink ref="F822" r:id="rId1072" xr:uid="{00000000-0004-0000-0200-00002F040000}"/>
    <hyperlink ref="G822" r:id="rId1073" xr:uid="{00000000-0004-0000-0200-000030040000}"/>
    <hyperlink ref="S823" r:id="rId1074" xr:uid="{00000000-0004-0000-0200-000031040000}"/>
    <hyperlink ref="S825" r:id="rId1075" xr:uid="{00000000-0004-0000-0200-000032040000}"/>
    <hyperlink ref="F826" r:id="rId1076" xr:uid="{00000000-0004-0000-0200-000033040000}"/>
    <hyperlink ref="R826" r:id="rId1077" xr:uid="{00000000-0004-0000-0200-000034040000}"/>
    <hyperlink ref="F827" r:id="rId1078" xr:uid="{00000000-0004-0000-0200-000035040000}"/>
    <hyperlink ref="G828" r:id="rId1079" xr:uid="{00000000-0004-0000-0200-000036040000}"/>
    <hyperlink ref="F829" r:id="rId1080" xr:uid="{00000000-0004-0000-0200-000037040000}"/>
    <hyperlink ref="G830" r:id="rId1081" xr:uid="{00000000-0004-0000-0200-000038040000}"/>
    <hyperlink ref="S831" r:id="rId1082" xr:uid="{00000000-0004-0000-0200-000039040000}"/>
    <hyperlink ref="S833" r:id="rId1083" xr:uid="{00000000-0004-0000-0200-00003A040000}"/>
    <hyperlink ref="F834" r:id="rId1084" xr:uid="{00000000-0004-0000-0200-00003B040000}"/>
    <hyperlink ref="S834" r:id="rId1085" xr:uid="{00000000-0004-0000-0200-00003C040000}"/>
    <hyperlink ref="F835" r:id="rId1086" xr:uid="{00000000-0004-0000-0200-00003D040000}"/>
    <hyperlink ref="S835" r:id="rId1087" xr:uid="{00000000-0004-0000-0200-00003E040000}"/>
    <hyperlink ref="F836" r:id="rId1088" xr:uid="{00000000-0004-0000-0200-00003F040000}"/>
    <hyperlink ref="S837" r:id="rId1089" xr:uid="{00000000-0004-0000-0200-000040040000}"/>
    <hyperlink ref="F839" r:id="rId1090" xr:uid="{00000000-0004-0000-0200-000041040000}"/>
    <hyperlink ref="F840" r:id="rId1091" xr:uid="{00000000-0004-0000-0200-000042040000}"/>
    <hyperlink ref="S840" r:id="rId1092" xr:uid="{00000000-0004-0000-0200-000043040000}"/>
    <hyperlink ref="F841" r:id="rId1093" xr:uid="{00000000-0004-0000-0200-000044040000}"/>
    <hyperlink ref="F843" r:id="rId1094" xr:uid="{00000000-0004-0000-0200-000045040000}"/>
    <hyperlink ref="G843" r:id="rId1095" xr:uid="{00000000-0004-0000-0200-000046040000}"/>
    <hyperlink ref="G844" r:id="rId1096" xr:uid="{00000000-0004-0000-0200-000047040000}"/>
    <hyperlink ref="S845" r:id="rId1097" xr:uid="{00000000-0004-0000-0200-000048040000}"/>
    <hyperlink ref="F847" r:id="rId1098" xr:uid="{00000000-0004-0000-0200-000049040000}"/>
    <hyperlink ref="S848" r:id="rId1099" xr:uid="{00000000-0004-0000-0200-00004A040000}"/>
    <hyperlink ref="F849" r:id="rId1100" xr:uid="{00000000-0004-0000-0200-00004B040000}"/>
    <hyperlink ref="G849" r:id="rId1101" xr:uid="{00000000-0004-0000-0200-00004C040000}"/>
    <hyperlink ref="S849" r:id="rId1102" xr:uid="{00000000-0004-0000-0200-00004D040000}"/>
    <hyperlink ref="F850" r:id="rId1103" xr:uid="{00000000-0004-0000-0200-00004E040000}"/>
    <hyperlink ref="G850" r:id="rId1104" xr:uid="{00000000-0004-0000-0200-00004F040000}"/>
    <hyperlink ref="S852" r:id="rId1105" xr:uid="{00000000-0004-0000-0200-000050040000}"/>
    <hyperlink ref="F853" r:id="rId1106" xr:uid="{00000000-0004-0000-0200-000051040000}"/>
    <hyperlink ref="F854" r:id="rId1107" xr:uid="{00000000-0004-0000-0200-000052040000}"/>
    <hyperlink ref="S855" r:id="rId1108" xr:uid="{00000000-0004-0000-0200-000053040000}"/>
    <hyperlink ref="F856" r:id="rId1109" xr:uid="{00000000-0004-0000-0200-000054040000}"/>
    <hyperlink ref="F857" r:id="rId1110" xr:uid="{00000000-0004-0000-0200-000055040000}"/>
    <hyperlink ref="S857" r:id="rId1111" xr:uid="{00000000-0004-0000-0200-000056040000}"/>
    <hyperlink ref="G858" r:id="rId1112" xr:uid="{00000000-0004-0000-0200-000057040000}"/>
    <hyperlink ref="S858" r:id="rId1113" xr:uid="{00000000-0004-0000-0200-000058040000}"/>
    <hyperlink ref="S860" r:id="rId1114" xr:uid="{00000000-0004-0000-0200-000059040000}"/>
    <hyperlink ref="S861" r:id="rId1115" xr:uid="{00000000-0004-0000-0200-00005A040000}"/>
    <hyperlink ref="F863" r:id="rId1116" xr:uid="{00000000-0004-0000-0200-00005B040000}"/>
    <hyperlink ref="S864" r:id="rId1117" xr:uid="{00000000-0004-0000-0200-00005C040000}"/>
    <hyperlink ref="F865" r:id="rId1118" xr:uid="{00000000-0004-0000-0200-00005D040000}"/>
    <hyperlink ref="S866" r:id="rId1119" xr:uid="{00000000-0004-0000-0200-00005E040000}"/>
    <hyperlink ref="F868" r:id="rId1120" xr:uid="{00000000-0004-0000-0200-00005F040000}"/>
    <hyperlink ref="F869" r:id="rId1121" xr:uid="{00000000-0004-0000-0200-000060040000}"/>
    <hyperlink ref="F870" r:id="rId1122" xr:uid="{00000000-0004-0000-0200-000061040000}"/>
    <hyperlink ref="G870" r:id="rId1123" xr:uid="{00000000-0004-0000-0200-000062040000}"/>
    <hyperlink ref="F871" r:id="rId1124" xr:uid="{00000000-0004-0000-0200-000063040000}"/>
    <hyperlink ref="F872" r:id="rId1125" xr:uid="{00000000-0004-0000-0200-000064040000}"/>
    <hyperlink ref="F873" r:id="rId1126" location=".W_BTDKgEUmF.facebook" xr:uid="{00000000-0004-0000-0200-000065040000}"/>
    <hyperlink ref="F875" r:id="rId1127" xr:uid="{00000000-0004-0000-0200-000066040000}"/>
    <hyperlink ref="S877" r:id="rId1128" xr:uid="{00000000-0004-0000-0200-000067040000}"/>
    <hyperlink ref="S878" r:id="rId1129" xr:uid="{00000000-0004-0000-0200-000068040000}"/>
    <hyperlink ref="S879" r:id="rId1130" xr:uid="{00000000-0004-0000-0200-000069040000}"/>
    <hyperlink ref="F880" r:id="rId1131" xr:uid="{00000000-0004-0000-0200-00006A040000}"/>
    <hyperlink ref="F883" r:id="rId1132" xr:uid="{00000000-0004-0000-0200-00006B040000}"/>
    <hyperlink ref="F884" r:id="rId1133" xr:uid="{00000000-0004-0000-0200-00006C040000}"/>
    <hyperlink ref="S884" r:id="rId1134" xr:uid="{00000000-0004-0000-0200-00006D040000}"/>
    <hyperlink ref="F885" r:id="rId1135" xr:uid="{00000000-0004-0000-0200-00006E040000}"/>
    <hyperlink ref="F887" r:id="rId1136" xr:uid="{00000000-0004-0000-0200-00006F040000}"/>
    <hyperlink ref="F888" r:id="rId1137" xr:uid="{00000000-0004-0000-0200-000070040000}"/>
    <hyperlink ref="S888" r:id="rId1138" xr:uid="{00000000-0004-0000-0200-000071040000}"/>
    <hyperlink ref="F889" r:id="rId1139" xr:uid="{00000000-0004-0000-0200-000072040000}"/>
    <hyperlink ref="S891" r:id="rId1140" xr:uid="{00000000-0004-0000-0200-000073040000}"/>
    <hyperlink ref="F892" r:id="rId1141" xr:uid="{00000000-0004-0000-0200-000074040000}"/>
    <hyperlink ref="F894" r:id="rId1142" xr:uid="{00000000-0004-0000-0200-000075040000}"/>
    <hyperlink ref="F898" r:id="rId1143" location=".W_ankTl_Wng.twitter" xr:uid="{00000000-0004-0000-0200-000076040000}"/>
    <hyperlink ref="G899" r:id="rId1144" xr:uid="{00000000-0004-0000-0200-000077040000}"/>
    <hyperlink ref="F900" r:id="rId1145" xr:uid="{00000000-0004-0000-0200-000078040000}"/>
    <hyperlink ref="F902" r:id="rId1146" xr:uid="{00000000-0004-0000-0200-000079040000}"/>
    <hyperlink ref="F904" r:id="rId1147" xr:uid="{00000000-0004-0000-0200-00007A040000}"/>
    <hyperlink ref="G905" r:id="rId1148" xr:uid="{00000000-0004-0000-0200-00007B040000}"/>
    <hyperlink ref="S905" r:id="rId1149" xr:uid="{00000000-0004-0000-0200-00007C040000}"/>
    <hyperlink ref="F907" r:id="rId1150" xr:uid="{00000000-0004-0000-0200-00007D040000}"/>
    <hyperlink ref="S910" r:id="rId1151" xr:uid="{00000000-0004-0000-0200-00007E040000}"/>
    <hyperlink ref="F912" r:id="rId1152" xr:uid="{00000000-0004-0000-0200-00007F040000}"/>
    <hyperlink ref="S914" r:id="rId1153" xr:uid="{00000000-0004-0000-0200-000080040000}"/>
    <hyperlink ref="F915" r:id="rId1154" xr:uid="{00000000-0004-0000-0200-000081040000}"/>
    <hyperlink ref="F916" r:id="rId1155" xr:uid="{00000000-0004-0000-0200-000082040000}"/>
    <hyperlink ref="F917" r:id="rId1156" xr:uid="{00000000-0004-0000-0200-000083040000}"/>
    <hyperlink ref="S918" r:id="rId1157" xr:uid="{00000000-0004-0000-0200-000084040000}"/>
    <hyperlink ref="F919" r:id="rId1158" xr:uid="{00000000-0004-0000-0200-000085040000}"/>
    <hyperlink ref="S919" r:id="rId1159" xr:uid="{00000000-0004-0000-0200-000086040000}"/>
    <hyperlink ref="F920" r:id="rId1160" xr:uid="{00000000-0004-0000-0200-000087040000}"/>
    <hyperlink ref="G922" r:id="rId1161" xr:uid="{00000000-0004-0000-0200-000088040000}"/>
    <hyperlink ref="F924" r:id="rId1162" xr:uid="{00000000-0004-0000-0200-000089040000}"/>
    <hyperlink ref="G926" r:id="rId1163" xr:uid="{00000000-0004-0000-0200-00008A040000}"/>
    <hyperlink ref="S926" r:id="rId1164" xr:uid="{00000000-0004-0000-0200-00008B040000}"/>
    <hyperlink ref="F927" r:id="rId1165" xr:uid="{00000000-0004-0000-0200-00008C040000}"/>
    <hyperlink ref="F928" r:id="rId1166" xr:uid="{00000000-0004-0000-0200-00008D040000}"/>
    <hyperlink ref="F929" r:id="rId1167" xr:uid="{00000000-0004-0000-0200-00008E040000}"/>
    <hyperlink ref="G931" r:id="rId1168" xr:uid="{00000000-0004-0000-0200-00008F040000}"/>
    <hyperlink ref="F934" r:id="rId1169" xr:uid="{00000000-0004-0000-0200-000090040000}"/>
    <hyperlink ref="F935" r:id="rId1170" xr:uid="{00000000-0004-0000-0200-000091040000}"/>
    <hyperlink ref="S935" r:id="rId1171" xr:uid="{00000000-0004-0000-0200-000092040000}"/>
    <hyperlink ref="F936" r:id="rId1172" xr:uid="{00000000-0004-0000-0200-000093040000}"/>
    <hyperlink ref="F937" r:id="rId1173" xr:uid="{00000000-0004-0000-0200-000094040000}"/>
    <hyperlink ref="F938" r:id="rId1174" xr:uid="{00000000-0004-0000-0200-000095040000}"/>
    <hyperlink ref="F939" r:id="rId1175" xr:uid="{00000000-0004-0000-0200-000096040000}"/>
    <hyperlink ref="S939" r:id="rId1176" xr:uid="{00000000-0004-0000-0200-000097040000}"/>
    <hyperlink ref="G940" r:id="rId1177" xr:uid="{00000000-0004-0000-0200-000098040000}"/>
    <hyperlink ref="S940" r:id="rId1178" xr:uid="{00000000-0004-0000-0200-000099040000}"/>
    <hyperlink ref="F941" r:id="rId1179" xr:uid="{00000000-0004-0000-0200-00009A040000}"/>
    <hyperlink ref="F943" r:id="rId1180" xr:uid="{00000000-0004-0000-0200-00009B040000}"/>
    <hyperlink ref="S943" r:id="rId1181" xr:uid="{00000000-0004-0000-0200-00009C040000}"/>
    <hyperlink ref="F944" r:id="rId1182" xr:uid="{00000000-0004-0000-0200-00009D040000}"/>
    <hyperlink ref="S944" r:id="rId1183" xr:uid="{00000000-0004-0000-0200-00009E040000}"/>
    <hyperlink ref="F945" r:id="rId1184" xr:uid="{00000000-0004-0000-0200-00009F040000}"/>
    <hyperlink ref="S945" r:id="rId1185" xr:uid="{00000000-0004-0000-0200-0000A0040000}"/>
    <hyperlink ref="F946" r:id="rId1186" xr:uid="{00000000-0004-0000-0200-0000A1040000}"/>
    <hyperlink ref="F947" r:id="rId1187" xr:uid="{00000000-0004-0000-0200-0000A2040000}"/>
    <hyperlink ref="F948" r:id="rId1188" xr:uid="{00000000-0004-0000-0200-0000A3040000}"/>
    <hyperlink ref="S949" r:id="rId1189" xr:uid="{00000000-0004-0000-0200-0000A4040000}"/>
    <hyperlink ref="G950" r:id="rId1190" xr:uid="{00000000-0004-0000-0200-0000A5040000}"/>
    <hyperlink ref="S950" r:id="rId1191" xr:uid="{00000000-0004-0000-0200-0000A6040000}"/>
    <hyperlink ref="F952" r:id="rId1192" xr:uid="{00000000-0004-0000-0200-0000A7040000}"/>
    <hyperlink ref="F953" r:id="rId1193" xr:uid="{00000000-0004-0000-0200-0000A8040000}"/>
    <hyperlink ref="G960" r:id="rId1194" xr:uid="{00000000-0004-0000-0200-0000A9040000}"/>
    <hyperlink ref="S960" r:id="rId1195" xr:uid="{00000000-0004-0000-0200-0000AA040000}"/>
    <hyperlink ref="F961" r:id="rId1196" xr:uid="{00000000-0004-0000-0200-0000AB040000}"/>
    <hyperlink ref="F962" r:id="rId1197" xr:uid="{00000000-0004-0000-0200-0000AC040000}"/>
    <hyperlink ref="S962" r:id="rId1198" xr:uid="{00000000-0004-0000-0200-0000AD040000}"/>
    <hyperlink ref="F963" r:id="rId1199" xr:uid="{00000000-0004-0000-0200-0000AE040000}"/>
    <hyperlink ref="S963" r:id="rId1200" xr:uid="{00000000-0004-0000-0200-0000AF040000}"/>
    <hyperlink ref="G965" r:id="rId1201" xr:uid="{00000000-0004-0000-0200-0000B0040000}"/>
    <hyperlink ref="F966" r:id="rId1202" xr:uid="{00000000-0004-0000-0200-0000B1040000}"/>
    <hyperlink ref="F967" r:id="rId1203" xr:uid="{00000000-0004-0000-0200-0000B2040000}"/>
    <hyperlink ref="S967" r:id="rId1204" xr:uid="{00000000-0004-0000-0200-0000B3040000}"/>
    <hyperlink ref="F968" r:id="rId1205" xr:uid="{00000000-0004-0000-0200-0000B4040000}"/>
    <hyperlink ref="F969" r:id="rId1206" xr:uid="{00000000-0004-0000-0200-0000B5040000}"/>
    <hyperlink ref="G972" r:id="rId1207" xr:uid="{00000000-0004-0000-0200-0000B6040000}"/>
    <hyperlink ref="S972" r:id="rId1208" xr:uid="{00000000-0004-0000-0200-0000B7040000}"/>
    <hyperlink ref="F973" r:id="rId1209" xr:uid="{00000000-0004-0000-0200-0000B8040000}"/>
    <hyperlink ref="F974" r:id="rId1210" xr:uid="{00000000-0004-0000-0200-0000B9040000}"/>
    <hyperlink ref="S974" r:id="rId1211" xr:uid="{00000000-0004-0000-0200-0000BA040000}"/>
    <hyperlink ref="F975" r:id="rId1212" xr:uid="{00000000-0004-0000-0200-0000BB040000}"/>
    <hyperlink ref="F977" r:id="rId1213" xr:uid="{00000000-0004-0000-0200-0000BC040000}"/>
    <hyperlink ref="S977" r:id="rId1214" xr:uid="{00000000-0004-0000-0200-0000BD040000}"/>
    <hyperlink ref="F978" r:id="rId1215" xr:uid="{00000000-0004-0000-0200-0000BE040000}"/>
    <hyperlink ref="F979" r:id="rId1216" xr:uid="{00000000-0004-0000-0200-0000BF040000}"/>
    <hyperlink ref="G980" r:id="rId1217" xr:uid="{00000000-0004-0000-0200-0000C0040000}"/>
    <hyperlink ref="S980" r:id="rId1218" xr:uid="{00000000-0004-0000-0200-0000C1040000}"/>
    <hyperlink ref="F982" r:id="rId1219" xr:uid="{00000000-0004-0000-0200-0000C2040000}"/>
    <hyperlink ref="F983" r:id="rId1220" xr:uid="{00000000-0004-0000-0200-0000C3040000}"/>
    <hyperlink ref="G983" r:id="rId1221" xr:uid="{00000000-0004-0000-0200-0000C4040000}"/>
    <hyperlink ref="S983" r:id="rId1222" xr:uid="{00000000-0004-0000-0200-0000C5040000}"/>
    <hyperlink ref="F984" r:id="rId1223" xr:uid="{00000000-0004-0000-0200-0000C6040000}"/>
    <hyperlink ref="S984" r:id="rId1224" xr:uid="{00000000-0004-0000-0200-0000C7040000}"/>
    <hyperlink ref="F985" r:id="rId1225" xr:uid="{00000000-0004-0000-0200-0000C8040000}"/>
    <hyperlink ref="S985" r:id="rId1226" xr:uid="{00000000-0004-0000-0200-0000C9040000}"/>
    <hyperlink ref="F987" r:id="rId1227" xr:uid="{00000000-0004-0000-0200-0000CA040000}"/>
    <hyperlink ref="S987" r:id="rId1228" xr:uid="{00000000-0004-0000-0200-0000CB040000}"/>
    <hyperlink ref="F988" r:id="rId1229" xr:uid="{00000000-0004-0000-0200-0000CC040000}"/>
    <hyperlink ref="F989" r:id="rId1230" xr:uid="{00000000-0004-0000-0200-0000CD040000}"/>
    <hyperlink ref="S989" r:id="rId1231" xr:uid="{00000000-0004-0000-0200-0000CE040000}"/>
    <hyperlink ref="F990" r:id="rId1232" xr:uid="{00000000-0004-0000-0200-0000CF040000}"/>
    <hyperlink ref="G990" r:id="rId1233" xr:uid="{00000000-0004-0000-0200-0000D0040000}"/>
    <hyperlink ref="F991" r:id="rId1234" xr:uid="{00000000-0004-0000-0200-0000D1040000}"/>
    <hyperlink ref="S991" r:id="rId1235" xr:uid="{00000000-0004-0000-0200-0000D2040000}"/>
    <hyperlink ref="F992" r:id="rId1236" xr:uid="{00000000-0004-0000-0200-0000D3040000}"/>
    <hyperlink ref="S992" r:id="rId1237" xr:uid="{00000000-0004-0000-0200-0000D4040000}"/>
    <hyperlink ref="G994" r:id="rId1238" xr:uid="{00000000-0004-0000-0200-0000D5040000}"/>
    <hyperlink ref="F996" r:id="rId1239" xr:uid="{00000000-0004-0000-0200-0000D6040000}"/>
    <hyperlink ref="F997" r:id="rId1240" xr:uid="{00000000-0004-0000-0200-0000D7040000}"/>
    <hyperlink ref="S997" r:id="rId1241" xr:uid="{00000000-0004-0000-0200-0000D8040000}"/>
    <hyperlink ref="F998" r:id="rId1242" xr:uid="{00000000-0004-0000-0200-0000D9040000}"/>
    <hyperlink ref="S998" r:id="rId1243" xr:uid="{00000000-0004-0000-0200-0000DA040000}"/>
    <hyperlink ref="F999" r:id="rId1244" xr:uid="{00000000-0004-0000-0200-0000DB040000}"/>
    <hyperlink ref="G999" r:id="rId1245" xr:uid="{00000000-0004-0000-0200-0000DC040000}"/>
    <hyperlink ref="S1000" r:id="rId1246" xr:uid="{00000000-0004-0000-0200-0000DD040000}"/>
    <hyperlink ref="F1001" r:id="rId1247" xr:uid="{00000000-0004-0000-0200-0000DE040000}"/>
    <hyperlink ref="G1002" r:id="rId1248" xr:uid="{00000000-0004-0000-0200-0000DF040000}"/>
    <hyperlink ref="F1003" r:id="rId1249" xr:uid="{00000000-0004-0000-0200-0000E0040000}"/>
    <hyperlink ref="S1004" r:id="rId1250" xr:uid="{00000000-0004-0000-0200-0000E1040000}"/>
    <hyperlink ref="G1005" r:id="rId1251" xr:uid="{00000000-0004-0000-0200-0000E2040000}"/>
    <hyperlink ref="G1006" r:id="rId1252" xr:uid="{00000000-0004-0000-0200-0000E3040000}"/>
    <hyperlink ref="G1007" r:id="rId1253" xr:uid="{00000000-0004-0000-0200-0000E4040000}"/>
    <hyperlink ref="S1007" r:id="rId1254" xr:uid="{00000000-0004-0000-0200-0000E5040000}"/>
    <hyperlink ref="F1008" r:id="rId1255" xr:uid="{00000000-0004-0000-0200-0000E6040000}"/>
    <hyperlink ref="F1009" r:id="rId1256" xr:uid="{00000000-0004-0000-0200-0000E7040000}"/>
    <hyperlink ref="S1009" r:id="rId1257" xr:uid="{00000000-0004-0000-0200-0000E8040000}"/>
    <hyperlink ref="F1011" r:id="rId1258" xr:uid="{00000000-0004-0000-0200-0000E9040000}"/>
    <hyperlink ref="S1011" r:id="rId1259" xr:uid="{00000000-0004-0000-0200-0000EA040000}"/>
    <hyperlink ref="F1013" r:id="rId1260" xr:uid="{00000000-0004-0000-0200-0000EB040000}"/>
    <hyperlink ref="G1013" r:id="rId1261" xr:uid="{00000000-0004-0000-0200-0000EC040000}"/>
    <hyperlink ref="S1013" r:id="rId1262" xr:uid="{00000000-0004-0000-0200-0000ED040000}"/>
    <hyperlink ref="S1014" r:id="rId1263" xr:uid="{00000000-0004-0000-0200-0000EE040000}"/>
    <hyperlink ref="G1015" r:id="rId1264" xr:uid="{00000000-0004-0000-0200-0000EF040000}"/>
    <hyperlink ref="F1016" r:id="rId1265" xr:uid="{00000000-0004-0000-0200-0000F0040000}"/>
    <hyperlink ref="F1018" r:id="rId1266" xr:uid="{00000000-0004-0000-0200-0000F1040000}"/>
    <hyperlink ref="F1023" r:id="rId1267" xr:uid="{00000000-0004-0000-0200-0000F2040000}"/>
    <hyperlink ref="S1025" r:id="rId1268" xr:uid="{00000000-0004-0000-0200-0000F3040000}"/>
    <hyperlink ref="F1026" r:id="rId1269" xr:uid="{00000000-0004-0000-0200-0000F4040000}"/>
    <hyperlink ref="F1027" r:id="rId1270" xr:uid="{00000000-0004-0000-0200-0000F5040000}"/>
    <hyperlink ref="G1027" r:id="rId1271" xr:uid="{00000000-0004-0000-0200-0000F6040000}"/>
    <hyperlink ref="S1027" r:id="rId1272" xr:uid="{00000000-0004-0000-0200-0000F7040000}"/>
    <hyperlink ref="F1031" r:id="rId1273" xr:uid="{00000000-0004-0000-0200-0000F8040000}"/>
    <hyperlink ref="S1033" r:id="rId1274" xr:uid="{00000000-0004-0000-0200-0000F9040000}"/>
    <hyperlink ref="S1036" r:id="rId1275" xr:uid="{00000000-0004-0000-0200-0000FA040000}"/>
    <hyperlink ref="G1037" r:id="rId1276" xr:uid="{00000000-0004-0000-0200-0000FB040000}"/>
    <hyperlink ref="G1038" r:id="rId1277" xr:uid="{00000000-0004-0000-0200-0000FC040000}"/>
    <hyperlink ref="F1040" r:id="rId1278" xr:uid="{00000000-0004-0000-0200-0000FD040000}"/>
    <hyperlink ref="G1040" r:id="rId1279" xr:uid="{00000000-0004-0000-0200-0000FE040000}"/>
    <hyperlink ref="G1041" r:id="rId1280" xr:uid="{00000000-0004-0000-0200-0000FF040000}"/>
    <hyperlink ref="S1041" r:id="rId1281" xr:uid="{00000000-0004-0000-0200-000000050000}"/>
    <hyperlink ref="F1042" r:id="rId1282" xr:uid="{00000000-0004-0000-0200-000001050000}"/>
    <hyperlink ref="S1042" r:id="rId1283" xr:uid="{00000000-0004-0000-0200-000002050000}"/>
    <hyperlink ref="G1043" r:id="rId1284" xr:uid="{00000000-0004-0000-0200-000003050000}"/>
    <hyperlink ref="S1043" r:id="rId1285" xr:uid="{00000000-0004-0000-0200-000004050000}"/>
    <hyperlink ref="F1044" r:id="rId1286" xr:uid="{00000000-0004-0000-0200-000005050000}"/>
    <hyperlink ref="F1046" r:id="rId1287" xr:uid="{00000000-0004-0000-0200-000006050000}"/>
    <hyperlink ref="F1048" r:id="rId1288" xr:uid="{00000000-0004-0000-0200-000007050000}"/>
    <hyperlink ref="F1049" r:id="rId1289" xr:uid="{00000000-0004-0000-0200-000008050000}"/>
    <hyperlink ref="F1050" r:id="rId1290" xr:uid="{00000000-0004-0000-0200-000009050000}"/>
    <hyperlink ref="F1051" r:id="rId1291" xr:uid="{00000000-0004-0000-0200-00000A050000}"/>
    <hyperlink ref="F1052" r:id="rId1292" xr:uid="{00000000-0004-0000-0200-00000B050000}"/>
    <hyperlink ref="F1053" r:id="rId1293" xr:uid="{00000000-0004-0000-0200-00000C050000}"/>
    <hyperlink ref="S1053" r:id="rId1294" xr:uid="{00000000-0004-0000-0200-00000D050000}"/>
    <hyperlink ref="F1054" r:id="rId1295" xr:uid="{00000000-0004-0000-0200-00000E050000}"/>
    <hyperlink ref="G1055" r:id="rId1296" xr:uid="{00000000-0004-0000-0200-00000F050000}"/>
    <hyperlink ref="F1058" r:id="rId1297" xr:uid="{00000000-0004-0000-0200-000010050000}"/>
    <hyperlink ref="S1059" r:id="rId1298" xr:uid="{00000000-0004-0000-0200-000011050000}"/>
    <hyperlink ref="F1060" r:id="rId1299" xr:uid="{00000000-0004-0000-0200-000012050000}"/>
    <hyperlink ref="F1061" r:id="rId1300" xr:uid="{00000000-0004-0000-0200-000013050000}"/>
    <hyperlink ref="G1062" r:id="rId1301" xr:uid="{00000000-0004-0000-0200-000014050000}"/>
    <hyperlink ref="F1063" r:id="rId1302" xr:uid="{00000000-0004-0000-0200-000015050000}"/>
    <hyperlink ref="G1064" r:id="rId1303" xr:uid="{00000000-0004-0000-0200-000016050000}"/>
    <hyperlink ref="S1065" r:id="rId1304" xr:uid="{00000000-0004-0000-0200-000017050000}"/>
    <hyperlink ref="S1066" r:id="rId1305" xr:uid="{00000000-0004-0000-0200-000018050000}"/>
    <hyperlink ref="F1067" r:id="rId1306" xr:uid="{00000000-0004-0000-0200-000019050000}"/>
    <hyperlink ref="F1068" r:id="rId1307" xr:uid="{00000000-0004-0000-0200-00001A050000}"/>
    <hyperlink ref="G1069" r:id="rId1308" xr:uid="{00000000-0004-0000-0200-00001B050000}"/>
    <hyperlink ref="S1069" r:id="rId1309" xr:uid="{00000000-0004-0000-0200-00001C050000}"/>
    <hyperlink ref="S1070" r:id="rId1310" xr:uid="{00000000-0004-0000-0200-00001D050000}"/>
    <hyperlink ref="F1071" r:id="rId1311" xr:uid="{00000000-0004-0000-0200-00001E050000}"/>
    <hyperlink ref="G1071" r:id="rId1312" xr:uid="{00000000-0004-0000-0200-00001F050000}"/>
    <hyperlink ref="S1072" r:id="rId1313" xr:uid="{00000000-0004-0000-0200-000020050000}"/>
    <hyperlink ref="F1073" r:id="rId1314" xr:uid="{00000000-0004-0000-0200-000021050000}"/>
    <hyperlink ref="F1074" r:id="rId1315" xr:uid="{00000000-0004-0000-0200-000022050000}"/>
    <hyperlink ref="G1074" r:id="rId1316" xr:uid="{00000000-0004-0000-0200-000023050000}"/>
    <hyperlink ref="S1074" r:id="rId1317" xr:uid="{00000000-0004-0000-0200-000024050000}"/>
    <hyperlink ref="F1077" r:id="rId1318" xr:uid="{00000000-0004-0000-0200-000025050000}"/>
    <hyperlink ref="F1078" r:id="rId1319" xr:uid="{00000000-0004-0000-0200-000026050000}"/>
    <hyperlink ref="G1078" r:id="rId1320" xr:uid="{00000000-0004-0000-0200-000027050000}"/>
    <hyperlink ref="F1079" r:id="rId1321" xr:uid="{00000000-0004-0000-0200-000028050000}"/>
    <hyperlink ref="S1079" r:id="rId1322" xr:uid="{00000000-0004-0000-0200-000029050000}"/>
    <hyperlink ref="G1080" r:id="rId1323" xr:uid="{00000000-0004-0000-0200-00002A050000}"/>
    <hyperlink ref="F1081" r:id="rId1324" xr:uid="{00000000-0004-0000-0200-00002B050000}"/>
    <hyperlink ref="S1081" r:id="rId1325" xr:uid="{00000000-0004-0000-0200-00002C050000}"/>
    <hyperlink ref="G1083" r:id="rId1326" xr:uid="{00000000-0004-0000-0200-00002D050000}"/>
    <hyperlink ref="S1083" r:id="rId1327" xr:uid="{00000000-0004-0000-0200-00002E050000}"/>
    <hyperlink ref="F1084" r:id="rId1328" xr:uid="{00000000-0004-0000-0200-00002F050000}"/>
    <hyperlink ref="S1084" r:id="rId1329" xr:uid="{00000000-0004-0000-0200-000030050000}"/>
    <hyperlink ref="F1085" r:id="rId1330" xr:uid="{00000000-0004-0000-0200-000031050000}"/>
    <hyperlink ref="F1086" r:id="rId1331" xr:uid="{00000000-0004-0000-0200-000032050000}"/>
    <hyperlink ref="S1086" r:id="rId1332" xr:uid="{00000000-0004-0000-0200-000033050000}"/>
    <hyperlink ref="F1087" r:id="rId1333" xr:uid="{00000000-0004-0000-0200-000034050000}"/>
    <hyperlink ref="G1088" r:id="rId1334" xr:uid="{00000000-0004-0000-0200-000035050000}"/>
    <hyperlink ref="S1088" r:id="rId1335" xr:uid="{00000000-0004-0000-0200-000036050000}"/>
    <hyperlink ref="F1090" r:id="rId1336" xr:uid="{00000000-0004-0000-0200-000037050000}"/>
    <hyperlink ref="F1092" r:id="rId1337" xr:uid="{00000000-0004-0000-0200-000038050000}"/>
    <hyperlink ref="G1092" r:id="rId1338" xr:uid="{00000000-0004-0000-0200-000039050000}"/>
    <hyperlink ref="F1094" r:id="rId1339" xr:uid="{00000000-0004-0000-0200-00003A050000}"/>
    <hyperlink ref="S1095" r:id="rId1340" xr:uid="{00000000-0004-0000-0200-00003B050000}"/>
    <hyperlink ref="F1096" r:id="rId1341" xr:uid="{00000000-0004-0000-0200-00003C050000}"/>
    <hyperlink ref="G1097" r:id="rId1342" xr:uid="{00000000-0004-0000-0200-00003D050000}"/>
    <hyperlink ref="S1097" r:id="rId1343" xr:uid="{00000000-0004-0000-0200-00003E050000}"/>
    <hyperlink ref="F1098" r:id="rId1344" xr:uid="{00000000-0004-0000-0200-00003F050000}"/>
    <hyperlink ref="G1098" r:id="rId1345" xr:uid="{00000000-0004-0000-0200-000040050000}"/>
    <hyperlink ref="S1098" r:id="rId1346" xr:uid="{00000000-0004-0000-0200-000041050000}"/>
    <hyperlink ref="S1100" r:id="rId1347" xr:uid="{00000000-0004-0000-0200-000042050000}"/>
    <hyperlink ref="F1101" r:id="rId1348" xr:uid="{00000000-0004-0000-0200-000043050000}"/>
    <hyperlink ref="G1101" r:id="rId1349" xr:uid="{00000000-0004-0000-0200-000044050000}"/>
    <hyperlink ref="S1101" r:id="rId1350" xr:uid="{00000000-0004-0000-0200-000045050000}"/>
    <hyperlink ref="F1102" r:id="rId1351" xr:uid="{00000000-0004-0000-0200-000046050000}"/>
    <hyperlink ref="S1102" r:id="rId1352" xr:uid="{00000000-0004-0000-0200-000047050000}"/>
    <hyperlink ref="F1103" r:id="rId1353" xr:uid="{00000000-0004-0000-0200-000048050000}"/>
    <hyperlink ref="S1103" r:id="rId1354" xr:uid="{00000000-0004-0000-0200-000049050000}"/>
    <hyperlink ref="F1106" r:id="rId1355" xr:uid="{00000000-0004-0000-0200-00004A050000}"/>
    <hyperlink ref="S1106" r:id="rId1356" xr:uid="{00000000-0004-0000-0200-00004B050000}"/>
    <hyperlink ref="F1107" r:id="rId1357" xr:uid="{00000000-0004-0000-0200-00004C050000}"/>
    <hyperlink ref="G1108" r:id="rId1358" xr:uid="{00000000-0004-0000-0200-00004D050000}"/>
    <hyperlink ref="C1109" r:id="rId1359" xr:uid="{00000000-0004-0000-0200-00004E050000}"/>
    <hyperlink ref="F1109" r:id="rId1360" xr:uid="{00000000-0004-0000-0200-00004F050000}"/>
    <hyperlink ref="G1109" r:id="rId1361" xr:uid="{00000000-0004-0000-0200-000050050000}"/>
    <hyperlink ref="S1109" r:id="rId1362" xr:uid="{00000000-0004-0000-0200-000051050000}"/>
    <hyperlink ref="S1110" r:id="rId1363" xr:uid="{00000000-0004-0000-0200-000052050000}"/>
    <hyperlink ref="F1111" r:id="rId1364" xr:uid="{00000000-0004-0000-0200-000053050000}"/>
    <hyperlink ref="S1111" r:id="rId1365" xr:uid="{00000000-0004-0000-0200-000054050000}"/>
    <hyperlink ref="F1112" r:id="rId1366" xr:uid="{00000000-0004-0000-0200-000055050000}"/>
    <hyperlink ref="S1112" r:id="rId1367" xr:uid="{00000000-0004-0000-0200-000056050000}"/>
    <hyperlink ref="F1113" r:id="rId1368" xr:uid="{00000000-0004-0000-0200-000057050000}"/>
    <hyperlink ref="G1114" r:id="rId1369" xr:uid="{00000000-0004-0000-0200-000058050000}"/>
    <hyperlink ref="S1114" r:id="rId1370" xr:uid="{00000000-0004-0000-0200-000059050000}"/>
    <hyperlink ref="F1115" r:id="rId1371" xr:uid="{00000000-0004-0000-0200-00005A050000}"/>
    <hyperlink ref="F1116" r:id="rId1372" xr:uid="{00000000-0004-0000-0200-00005B050000}"/>
    <hyperlink ref="F1117" r:id="rId1373" xr:uid="{00000000-0004-0000-0200-00005C050000}"/>
    <hyperlink ref="S1117" r:id="rId1374" xr:uid="{00000000-0004-0000-0200-00005D050000}"/>
    <hyperlink ref="G1118" r:id="rId1375" xr:uid="{00000000-0004-0000-0200-00005E050000}"/>
    <hyperlink ref="S1118" r:id="rId1376" xr:uid="{00000000-0004-0000-0200-00005F050000}"/>
    <hyperlink ref="F1119" r:id="rId1377" xr:uid="{00000000-0004-0000-0200-000060050000}"/>
    <hyperlink ref="S1119" r:id="rId1378" xr:uid="{00000000-0004-0000-0200-000061050000}"/>
    <hyperlink ref="F1120" r:id="rId1379" xr:uid="{00000000-0004-0000-0200-000062050000}"/>
    <hyperlink ref="F1121" r:id="rId1380" xr:uid="{00000000-0004-0000-0200-000063050000}"/>
    <hyperlink ref="S1121" r:id="rId1381" xr:uid="{00000000-0004-0000-0200-000064050000}"/>
    <hyperlink ref="F1122" r:id="rId1382" xr:uid="{00000000-0004-0000-0200-000065050000}"/>
    <hyperlink ref="G1123" r:id="rId1383" xr:uid="{00000000-0004-0000-0200-000066050000}"/>
    <hyperlink ref="F1125" r:id="rId1384" xr:uid="{00000000-0004-0000-0200-000067050000}"/>
    <hyperlink ref="S1125" r:id="rId1385" xr:uid="{00000000-0004-0000-0200-000068050000}"/>
    <hyperlink ref="S1126" r:id="rId1386" xr:uid="{00000000-0004-0000-0200-000069050000}"/>
    <hyperlink ref="F1127" r:id="rId1387" xr:uid="{00000000-0004-0000-0200-00006A050000}"/>
    <hyperlink ref="F1128" r:id="rId1388" xr:uid="{00000000-0004-0000-0200-00006B050000}"/>
    <hyperlink ref="G1128" r:id="rId1389" xr:uid="{00000000-0004-0000-0200-00006C050000}"/>
    <hyperlink ref="F1129" r:id="rId1390" xr:uid="{00000000-0004-0000-0200-00006D050000}"/>
    <hyperlink ref="F1131" r:id="rId1391" xr:uid="{00000000-0004-0000-0200-00006E050000}"/>
    <hyperlink ref="S1131" r:id="rId1392" xr:uid="{00000000-0004-0000-0200-00006F050000}"/>
    <hyperlink ref="F1132" r:id="rId1393" xr:uid="{00000000-0004-0000-0200-000070050000}"/>
    <hyperlink ref="S1132" r:id="rId1394" xr:uid="{00000000-0004-0000-0200-000071050000}"/>
    <hyperlink ref="F1133" r:id="rId1395" xr:uid="{00000000-0004-0000-0200-000072050000}"/>
    <hyperlink ref="S1133" r:id="rId1396" xr:uid="{00000000-0004-0000-0200-000073050000}"/>
    <hyperlink ref="F1136" r:id="rId1397" xr:uid="{00000000-0004-0000-0200-000074050000}"/>
    <hyperlink ref="S1136" r:id="rId1398" xr:uid="{00000000-0004-0000-0200-000075050000}"/>
    <hyperlink ref="F1137" r:id="rId1399" xr:uid="{00000000-0004-0000-0200-000076050000}"/>
    <hyperlink ref="F1138" r:id="rId1400" xr:uid="{00000000-0004-0000-0200-000077050000}"/>
    <hyperlink ref="F1140" r:id="rId1401" xr:uid="{00000000-0004-0000-0200-000078050000}"/>
    <hyperlink ref="F1141" r:id="rId1402" xr:uid="{00000000-0004-0000-0200-000079050000}"/>
    <hyperlink ref="F1142" r:id="rId1403" xr:uid="{00000000-0004-0000-0200-00007A050000}"/>
    <hyperlink ref="S1142" r:id="rId1404" xr:uid="{00000000-0004-0000-0200-00007B050000}"/>
    <hyperlink ref="F1143" r:id="rId1405" xr:uid="{00000000-0004-0000-0200-00007C050000}"/>
    <hyperlink ref="S1143" r:id="rId1406" xr:uid="{00000000-0004-0000-0200-00007D050000}"/>
    <hyperlink ref="F1144" r:id="rId1407" xr:uid="{00000000-0004-0000-0200-00007E050000}"/>
    <hyperlink ref="F1145" r:id="rId1408" xr:uid="{00000000-0004-0000-0200-00007F050000}"/>
    <hyperlink ref="G1146" r:id="rId1409" xr:uid="{00000000-0004-0000-0200-000080050000}"/>
    <hyperlink ref="F1147" r:id="rId1410" xr:uid="{00000000-0004-0000-0200-000081050000}"/>
    <hyperlink ref="F1148" r:id="rId1411" xr:uid="{00000000-0004-0000-0200-000082050000}"/>
    <hyperlink ref="S1148" r:id="rId1412" xr:uid="{00000000-0004-0000-0200-000083050000}"/>
    <hyperlink ref="S1149" r:id="rId1413" xr:uid="{00000000-0004-0000-0200-000084050000}"/>
    <hyperlink ref="F1150" r:id="rId1414" xr:uid="{00000000-0004-0000-0200-000085050000}"/>
    <hyperlink ref="F1153" r:id="rId1415" xr:uid="{00000000-0004-0000-0200-000086050000}"/>
    <hyperlink ref="S1153" r:id="rId1416" xr:uid="{00000000-0004-0000-0200-000087050000}"/>
    <hyperlink ref="F1155" r:id="rId1417" xr:uid="{00000000-0004-0000-0200-000088050000}"/>
    <hyperlink ref="F1157" r:id="rId1418" xr:uid="{00000000-0004-0000-0200-000089050000}"/>
    <hyperlink ref="S1157" r:id="rId1419" xr:uid="{00000000-0004-0000-0200-00008A050000}"/>
    <hyperlink ref="G1158" r:id="rId1420" xr:uid="{00000000-0004-0000-0200-00008B050000}"/>
    <hyperlink ref="F1159" r:id="rId1421" xr:uid="{00000000-0004-0000-0200-00008C050000}"/>
    <hyperlink ref="S1160" r:id="rId1422" xr:uid="{00000000-0004-0000-0200-00008D050000}"/>
    <hyperlink ref="F1161" r:id="rId1423" xr:uid="{00000000-0004-0000-0200-00008E050000}"/>
    <hyperlink ref="F1162" r:id="rId1424" xr:uid="{00000000-0004-0000-0200-00008F050000}"/>
    <hyperlink ref="F1163" r:id="rId1425" xr:uid="{00000000-0004-0000-0200-000090050000}"/>
    <hyperlink ref="F1164" r:id="rId1426" xr:uid="{00000000-0004-0000-0200-000091050000}"/>
    <hyperlink ref="F1165" r:id="rId1427" xr:uid="{00000000-0004-0000-0200-000092050000}"/>
    <hyperlink ref="G1167" r:id="rId1428" xr:uid="{00000000-0004-0000-0200-000093050000}"/>
    <hyperlink ref="G1168" r:id="rId1429" xr:uid="{00000000-0004-0000-0200-000094050000}"/>
    <hyperlink ref="F1169" r:id="rId1430" xr:uid="{00000000-0004-0000-0200-000095050000}"/>
    <hyperlink ref="G1169" r:id="rId1431" xr:uid="{00000000-0004-0000-0200-000096050000}"/>
    <hyperlink ref="S1169" r:id="rId1432" xr:uid="{00000000-0004-0000-0200-000097050000}"/>
    <hyperlink ref="G1170" r:id="rId1433" xr:uid="{00000000-0004-0000-0200-000098050000}"/>
    <hyperlink ref="F1171" r:id="rId1434" xr:uid="{00000000-0004-0000-0200-000099050000}"/>
    <hyperlink ref="S1171" r:id="rId1435" xr:uid="{00000000-0004-0000-0200-00009A050000}"/>
    <hyperlink ref="F1172" r:id="rId1436" xr:uid="{00000000-0004-0000-0200-00009B050000}"/>
    <hyperlink ref="F1173" r:id="rId1437" xr:uid="{00000000-0004-0000-0200-00009C050000}"/>
    <hyperlink ref="S1173" r:id="rId1438" xr:uid="{00000000-0004-0000-0200-00009D050000}"/>
    <hyperlink ref="F1174" r:id="rId1439" xr:uid="{00000000-0004-0000-0200-00009E050000}"/>
    <hyperlink ref="S1174" r:id="rId1440" xr:uid="{00000000-0004-0000-0200-00009F050000}"/>
    <hyperlink ref="F1175" r:id="rId1441" xr:uid="{00000000-0004-0000-0200-0000A0050000}"/>
    <hyperlink ref="S1175" r:id="rId1442" xr:uid="{00000000-0004-0000-0200-0000A1050000}"/>
    <hyperlink ref="G1176" r:id="rId1443" xr:uid="{00000000-0004-0000-0200-0000A2050000}"/>
    <hyperlink ref="S1177" r:id="rId1444" xr:uid="{00000000-0004-0000-0200-0000A3050000}"/>
    <hyperlink ref="F1178" r:id="rId1445" xr:uid="{00000000-0004-0000-0200-0000A4050000}"/>
    <hyperlink ref="F1181" r:id="rId1446" xr:uid="{00000000-0004-0000-0200-0000A5050000}"/>
    <hyperlink ref="F1183" r:id="rId1447" xr:uid="{00000000-0004-0000-0200-0000A6050000}"/>
    <hyperlink ref="S1184" r:id="rId1448" xr:uid="{00000000-0004-0000-0200-0000A7050000}"/>
    <hyperlink ref="F1185" r:id="rId1449" xr:uid="{00000000-0004-0000-0200-0000A8050000}"/>
    <hyperlink ref="G1185" r:id="rId1450" xr:uid="{00000000-0004-0000-0200-0000A9050000}"/>
    <hyperlink ref="S1185" r:id="rId1451" xr:uid="{00000000-0004-0000-0200-0000AA050000}"/>
    <hyperlink ref="F1186" r:id="rId1452" xr:uid="{00000000-0004-0000-0200-0000AB050000}"/>
    <hyperlink ref="S1186" r:id="rId1453" xr:uid="{00000000-0004-0000-0200-0000AC050000}"/>
    <hyperlink ref="S1187" r:id="rId1454" xr:uid="{00000000-0004-0000-0200-0000AD050000}"/>
    <hyperlink ref="F1188" r:id="rId1455" xr:uid="{00000000-0004-0000-0200-0000AE050000}"/>
    <hyperlink ref="S1188" r:id="rId1456" xr:uid="{00000000-0004-0000-0200-0000AF050000}"/>
    <hyperlink ref="F1189" r:id="rId1457" xr:uid="{00000000-0004-0000-0200-0000B0050000}"/>
    <hyperlink ref="F1190" r:id="rId1458" xr:uid="{00000000-0004-0000-0200-0000B1050000}"/>
    <hyperlink ref="S1190" r:id="rId1459" xr:uid="{00000000-0004-0000-0200-0000B2050000}"/>
    <hyperlink ref="F1191" r:id="rId1460" xr:uid="{00000000-0004-0000-0200-0000B3050000}"/>
    <hyperlink ref="S1191" r:id="rId1461" xr:uid="{00000000-0004-0000-0200-0000B4050000}"/>
    <hyperlink ref="F1192" r:id="rId1462" xr:uid="{00000000-0004-0000-0200-0000B5050000}"/>
    <hyperlink ref="S1193" r:id="rId1463" xr:uid="{00000000-0004-0000-0200-0000B6050000}"/>
    <hyperlink ref="F1194" r:id="rId1464" xr:uid="{00000000-0004-0000-0200-0000B7050000}"/>
    <hyperlink ref="G1194" r:id="rId1465" xr:uid="{00000000-0004-0000-0200-0000B8050000}"/>
    <hyperlink ref="S1194" r:id="rId1466" xr:uid="{00000000-0004-0000-0200-0000B9050000}"/>
    <hyperlink ref="F1195" r:id="rId1467" xr:uid="{00000000-0004-0000-0200-0000BA050000}"/>
    <hyperlink ref="F1196" r:id="rId1468" xr:uid="{00000000-0004-0000-0200-0000BB050000}"/>
    <hyperlink ref="F1197" r:id="rId1469" xr:uid="{00000000-0004-0000-0200-0000BC050000}"/>
    <hyperlink ref="F1198" r:id="rId1470" xr:uid="{00000000-0004-0000-0200-0000BD050000}"/>
    <hyperlink ref="F1199" r:id="rId1471" xr:uid="{00000000-0004-0000-0200-0000BE050000}"/>
    <hyperlink ref="F1201" r:id="rId1472" xr:uid="{00000000-0004-0000-0200-0000BF050000}"/>
    <hyperlink ref="S1201" r:id="rId1473" xr:uid="{00000000-0004-0000-0200-0000C0050000}"/>
    <hyperlink ref="F1202" r:id="rId1474" xr:uid="{00000000-0004-0000-0200-0000C1050000}"/>
    <hyperlink ref="G1202" r:id="rId1475" xr:uid="{00000000-0004-0000-0200-0000C2050000}"/>
    <hyperlink ref="S1202" r:id="rId1476" xr:uid="{00000000-0004-0000-0200-0000C3050000}"/>
    <hyperlink ref="G1203" r:id="rId1477" xr:uid="{00000000-0004-0000-0200-0000C4050000}"/>
    <hyperlink ref="G1204" r:id="rId1478" xr:uid="{00000000-0004-0000-0200-0000C5050000}"/>
    <hyperlink ref="F1205" r:id="rId1479" xr:uid="{00000000-0004-0000-0200-0000C6050000}"/>
    <hyperlink ref="S1205" r:id="rId1480" xr:uid="{00000000-0004-0000-0200-0000C7050000}"/>
    <hyperlink ref="F1206" r:id="rId1481" xr:uid="{00000000-0004-0000-0200-0000C8050000}"/>
    <hyperlink ref="S1206" r:id="rId1482" xr:uid="{00000000-0004-0000-0200-0000C9050000}"/>
    <hyperlink ref="F1208" r:id="rId1483" xr:uid="{00000000-0004-0000-0200-0000CA050000}"/>
    <hyperlink ref="S1208" r:id="rId1484" xr:uid="{00000000-0004-0000-0200-0000CB050000}"/>
    <hyperlink ref="F1209" r:id="rId1485" xr:uid="{00000000-0004-0000-0200-0000CC050000}"/>
    <hyperlink ref="G1209" r:id="rId1486" xr:uid="{00000000-0004-0000-0200-0000CD050000}"/>
    <hyperlink ref="S1209" r:id="rId1487" xr:uid="{00000000-0004-0000-0200-0000CE050000}"/>
    <hyperlink ref="F1210" r:id="rId1488" xr:uid="{00000000-0004-0000-0200-0000CF050000}"/>
    <hyperlink ref="G1211" r:id="rId1489" xr:uid="{00000000-0004-0000-0200-0000D0050000}"/>
    <hyperlink ref="F1212" r:id="rId1490" xr:uid="{00000000-0004-0000-0200-0000D1050000}"/>
    <hyperlink ref="S1213" r:id="rId1491" xr:uid="{00000000-0004-0000-0200-0000D2050000}"/>
    <hyperlink ref="F1214" r:id="rId1492" location="click=https://t.co/rTDTGol6ZR" xr:uid="{00000000-0004-0000-0200-0000D3050000}"/>
    <hyperlink ref="G1215" r:id="rId1493" xr:uid="{00000000-0004-0000-0200-0000D4050000}"/>
    <hyperlink ref="F1216" r:id="rId1494" xr:uid="{00000000-0004-0000-0200-0000D5050000}"/>
    <hyperlink ref="G1216" r:id="rId1495" xr:uid="{00000000-0004-0000-0200-0000D6050000}"/>
    <hyperlink ref="S1216" r:id="rId1496" xr:uid="{00000000-0004-0000-0200-0000D7050000}"/>
    <hyperlink ref="F1217" r:id="rId1497" xr:uid="{00000000-0004-0000-0200-0000D8050000}"/>
    <hyperlink ref="F1218" r:id="rId1498" xr:uid="{00000000-0004-0000-0200-0000D9050000}"/>
    <hyperlink ref="F1219" r:id="rId1499" xr:uid="{00000000-0004-0000-0200-0000DA050000}"/>
    <hyperlink ref="S1219" r:id="rId1500" xr:uid="{00000000-0004-0000-0200-0000DB050000}"/>
    <hyperlink ref="F1220" r:id="rId1501" xr:uid="{00000000-0004-0000-0200-0000DC050000}"/>
    <hyperlink ref="G1221" r:id="rId1502" xr:uid="{00000000-0004-0000-0200-0000DD050000}"/>
    <hyperlink ref="S1221" r:id="rId1503" xr:uid="{00000000-0004-0000-0200-0000DE050000}"/>
    <hyperlink ref="F1222" r:id="rId1504" xr:uid="{00000000-0004-0000-0200-0000DF050000}"/>
    <hyperlink ref="S1222" r:id="rId1505" xr:uid="{00000000-0004-0000-0200-0000E0050000}"/>
    <hyperlink ref="S1224" r:id="rId1506" xr:uid="{00000000-0004-0000-0200-0000E1050000}"/>
    <hyperlink ref="F1225" r:id="rId1507" xr:uid="{00000000-0004-0000-0200-0000E2050000}"/>
    <hyperlink ref="F1226" r:id="rId1508" xr:uid="{00000000-0004-0000-0200-0000E3050000}"/>
    <hyperlink ref="S1226" r:id="rId1509" xr:uid="{00000000-0004-0000-0200-0000E4050000}"/>
    <hyperlink ref="G1227" r:id="rId1510" xr:uid="{00000000-0004-0000-0200-0000E5050000}"/>
    <hyperlink ref="S1227" r:id="rId1511" xr:uid="{00000000-0004-0000-0200-0000E6050000}"/>
    <hyperlink ref="F1228" r:id="rId1512" xr:uid="{00000000-0004-0000-0200-0000E7050000}"/>
    <hyperlink ref="S1228" r:id="rId1513" xr:uid="{00000000-0004-0000-0200-0000E8050000}"/>
    <hyperlink ref="F1230" r:id="rId1514" xr:uid="{00000000-0004-0000-0200-0000E9050000}"/>
    <hyperlink ref="G1230" r:id="rId1515" xr:uid="{00000000-0004-0000-0200-0000EA050000}"/>
    <hyperlink ref="F1231" r:id="rId1516" xr:uid="{00000000-0004-0000-0200-0000EB050000}"/>
    <hyperlink ref="G1231" r:id="rId1517" xr:uid="{00000000-0004-0000-0200-0000EC050000}"/>
    <hyperlink ref="F1232" r:id="rId1518" xr:uid="{00000000-0004-0000-0200-0000ED050000}"/>
    <hyperlink ref="S1233" r:id="rId1519" xr:uid="{00000000-0004-0000-0200-0000EE050000}"/>
    <hyperlink ref="F1235" r:id="rId1520" xr:uid="{00000000-0004-0000-0200-0000EF050000}"/>
    <hyperlink ref="F1237" r:id="rId1521" xr:uid="{00000000-0004-0000-0200-0000F0050000}"/>
    <hyperlink ref="F1238" r:id="rId1522" xr:uid="{00000000-0004-0000-0200-0000F1050000}"/>
    <hyperlink ref="F1239" r:id="rId1523" xr:uid="{00000000-0004-0000-0200-0000F2050000}"/>
    <hyperlink ref="S1239" r:id="rId1524" xr:uid="{00000000-0004-0000-0200-0000F3050000}"/>
    <hyperlink ref="G1240" r:id="rId1525" xr:uid="{00000000-0004-0000-0200-0000F4050000}"/>
    <hyperlink ref="S1240" r:id="rId1526" xr:uid="{00000000-0004-0000-0200-0000F5050000}"/>
    <hyperlink ref="F1241" r:id="rId1527" xr:uid="{00000000-0004-0000-0200-0000F6050000}"/>
    <hyperlink ref="G1241" r:id="rId1528" xr:uid="{00000000-0004-0000-0200-0000F7050000}"/>
    <hyperlink ref="S1241" r:id="rId1529" xr:uid="{00000000-0004-0000-0200-0000F8050000}"/>
    <hyperlink ref="F1242" r:id="rId1530" xr:uid="{00000000-0004-0000-0200-0000F9050000}"/>
    <hyperlink ref="S1243" r:id="rId1531" xr:uid="{00000000-0004-0000-0200-0000FA050000}"/>
    <hyperlink ref="F1245" r:id="rId1532" xr:uid="{00000000-0004-0000-0200-0000FB050000}"/>
    <hyperlink ref="S1245" r:id="rId1533" xr:uid="{00000000-0004-0000-0200-0000FC050000}"/>
    <hyperlink ref="F1246" r:id="rId1534" xr:uid="{00000000-0004-0000-0200-0000FD050000}"/>
    <hyperlink ref="F1247" r:id="rId1535" xr:uid="{00000000-0004-0000-0200-0000FE050000}"/>
    <hyperlink ref="F1249" r:id="rId1536" xr:uid="{00000000-0004-0000-0200-0000FF050000}"/>
    <hyperlink ref="F1250" r:id="rId1537" xr:uid="{00000000-0004-0000-0200-000000060000}"/>
    <hyperlink ref="S1250" r:id="rId1538" xr:uid="{00000000-0004-0000-0200-000001060000}"/>
    <hyperlink ref="G1251" r:id="rId1539" xr:uid="{00000000-0004-0000-0200-000002060000}"/>
    <hyperlink ref="F1252" r:id="rId1540" xr:uid="{00000000-0004-0000-0200-000003060000}"/>
    <hyperlink ref="S1252" r:id="rId1541" xr:uid="{00000000-0004-0000-0200-000004060000}"/>
    <hyperlink ref="G1253" r:id="rId1542" xr:uid="{00000000-0004-0000-0200-000005060000}"/>
    <hyperlink ref="F1254" r:id="rId1543" xr:uid="{00000000-0004-0000-0200-000006060000}"/>
    <hyperlink ref="S1254" r:id="rId1544" xr:uid="{00000000-0004-0000-0200-000007060000}"/>
    <hyperlink ref="F1255" r:id="rId1545" xr:uid="{00000000-0004-0000-0200-000008060000}"/>
    <hyperlink ref="F1256" r:id="rId1546" xr:uid="{00000000-0004-0000-0200-000009060000}"/>
    <hyperlink ref="S1256" r:id="rId1547" xr:uid="{00000000-0004-0000-0200-00000A060000}"/>
    <hyperlink ref="F1257" r:id="rId1548" xr:uid="{00000000-0004-0000-0200-00000B060000}"/>
    <hyperlink ref="F1258" r:id="rId1549" xr:uid="{00000000-0004-0000-0200-00000C060000}"/>
    <hyperlink ref="S1259" r:id="rId1550" xr:uid="{00000000-0004-0000-0200-00000D060000}"/>
    <hyperlink ref="F1260" r:id="rId1551" xr:uid="{00000000-0004-0000-0200-00000E060000}"/>
    <hyperlink ref="F1261" r:id="rId1552" xr:uid="{00000000-0004-0000-0200-00000F060000}"/>
    <hyperlink ref="F1263" r:id="rId1553" xr:uid="{00000000-0004-0000-0200-000010060000}"/>
    <hyperlink ref="S1263" r:id="rId1554" xr:uid="{00000000-0004-0000-0200-000011060000}"/>
    <hyperlink ref="G1265" r:id="rId1555" xr:uid="{00000000-0004-0000-0200-000012060000}"/>
    <hyperlink ref="S1265" r:id="rId1556" xr:uid="{00000000-0004-0000-0200-000013060000}"/>
    <hyperlink ref="F1266" r:id="rId1557" xr:uid="{00000000-0004-0000-0200-000014060000}"/>
    <hyperlink ref="G1266" r:id="rId1558" xr:uid="{00000000-0004-0000-0200-000015060000}"/>
    <hyperlink ref="S1266" r:id="rId1559" xr:uid="{00000000-0004-0000-0200-000016060000}"/>
    <hyperlink ref="F1268" r:id="rId1560" xr:uid="{00000000-0004-0000-0200-000017060000}"/>
    <hyperlink ref="F1269" r:id="rId1561" xr:uid="{00000000-0004-0000-0200-000018060000}"/>
    <hyperlink ref="S1270" r:id="rId1562" xr:uid="{00000000-0004-0000-0200-000019060000}"/>
    <hyperlink ref="F1271" r:id="rId1563" xr:uid="{00000000-0004-0000-0200-00001A060000}"/>
    <hyperlink ref="S1271" r:id="rId1564" xr:uid="{00000000-0004-0000-0200-00001B060000}"/>
    <hyperlink ref="S1273" r:id="rId1565" xr:uid="{00000000-0004-0000-0200-00001C060000}"/>
    <hyperlink ref="S1275" r:id="rId1566" xr:uid="{00000000-0004-0000-0200-00001D060000}"/>
    <hyperlink ref="F1276" r:id="rId1567" xr:uid="{00000000-0004-0000-0200-00001E060000}"/>
    <hyperlink ref="F1277" r:id="rId1568" xr:uid="{00000000-0004-0000-0200-00001F060000}"/>
    <hyperlink ref="F1278" r:id="rId1569" xr:uid="{00000000-0004-0000-0200-000020060000}"/>
    <hyperlink ref="S1278" r:id="rId1570" xr:uid="{00000000-0004-0000-0200-000021060000}"/>
    <hyperlink ref="F1280" r:id="rId1571" xr:uid="{00000000-0004-0000-0200-000022060000}"/>
    <hyperlink ref="F1281" r:id="rId1572" xr:uid="{00000000-0004-0000-0200-000023060000}"/>
    <hyperlink ref="F1283" r:id="rId1573" xr:uid="{00000000-0004-0000-0200-000024060000}"/>
    <hyperlink ref="G1283" r:id="rId1574" xr:uid="{00000000-0004-0000-0200-000025060000}"/>
    <hyperlink ref="S1283" r:id="rId1575" xr:uid="{00000000-0004-0000-0200-000026060000}"/>
    <hyperlink ref="F1284" r:id="rId1576" xr:uid="{00000000-0004-0000-0200-000027060000}"/>
    <hyperlink ref="F1285" r:id="rId1577" xr:uid="{00000000-0004-0000-0200-000028060000}"/>
    <hyperlink ref="S1285" r:id="rId1578" xr:uid="{00000000-0004-0000-0200-000029060000}"/>
    <hyperlink ref="F1286" r:id="rId1579" location=".W_BTDKgEUmF.facebook" xr:uid="{00000000-0004-0000-0200-00002A060000}"/>
    <hyperlink ref="F1287" r:id="rId1580" xr:uid="{00000000-0004-0000-0200-00002B060000}"/>
    <hyperlink ref="G1287" r:id="rId1581" xr:uid="{00000000-0004-0000-0200-00002C060000}"/>
    <hyperlink ref="S1287" r:id="rId1582" xr:uid="{00000000-0004-0000-0200-00002D060000}"/>
    <hyperlink ref="F1288" r:id="rId1583" xr:uid="{00000000-0004-0000-0200-00002E060000}"/>
    <hyperlink ref="S1288" r:id="rId1584" xr:uid="{00000000-0004-0000-0200-00002F060000}"/>
    <hyperlink ref="F1289" r:id="rId1585" xr:uid="{00000000-0004-0000-0200-000030060000}"/>
    <hyperlink ref="S1289" r:id="rId1586" xr:uid="{00000000-0004-0000-0200-000031060000}"/>
    <hyperlink ref="F1290" r:id="rId1587" xr:uid="{00000000-0004-0000-0200-000032060000}"/>
    <hyperlink ref="S1290" r:id="rId1588" xr:uid="{00000000-0004-0000-0200-000033060000}"/>
    <hyperlink ref="F1291" r:id="rId1589" xr:uid="{00000000-0004-0000-0200-000034060000}"/>
    <hyperlink ref="S1291" r:id="rId1590" xr:uid="{00000000-0004-0000-0200-000035060000}"/>
    <hyperlink ref="F1292" r:id="rId1591" xr:uid="{00000000-0004-0000-0200-000036060000}"/>
    <hyperlink ref="S1292" r:id="rId1592" xr:uid="{00000000-0004-0000-0200-000037060000}"/>
    <hyperlink ref="F1293" r:id="rId1593" xr:uid="{00000000-0004-0000-0200-000038060000}"/>
    <hyperlink ref="F1294" r:id="rId1594" xr:uid="{00000000-0004-0000-0200-000039060000}"/>
    <hyperlink ref="F1295" r:id="rId1595" xr:uid="{00000000-0004-0000-0200-00003A060000}"/>
    <hyperlink ref="G1296" r:id="rId1596" xr:uid="{00000000-0004-0000-0200-00003B060000}"/>
    <hyperlink ref="F1299" r:id="rId1597" xr:uid="{00000000-0004-0000-0200-00003C060000}"/>
    <hyperlink ref="S1299" r:id="rId1598" xr:uid="{00000000-0004-0000-0200-00003D060000}"/>
    <hyperlink ref="F1300" r:id="rId1599" xr:uid="{00000000-0004-0000-0200-00003E060000}"/>
    <hyperlink ref="G1302" r:id="rId1600" xr:uid="{00000000-0004-0000-0200-00003F060000}"/>
    <hyperlink ref="F1303" r:id="rId1601" xr:uid="{00000000-0004-0000-0200-000040060000}"/>
    <hyperlink ref="G1304" r:id="rId1602" xr:uid="{00000000-0004-0000-0200-000041060000}"/>
    <hyperlink ref="F1305" r:id="rId1603" xr:uid="{00000000-0004-0000-0200-000042060000}"/>
    <hyperlink ref="F1306" r:id="rId1604" xr:uid="{00000000-0004-0000-0200-000043060000}"/>
    <hyperlink ref="F1307" r:id="rId1605" xr:uid="{00000000-0004-0000-0200-000044060000}"/>
    <hyperlink ref="F1308" r:id="rId1606" xr:uid="{00000000-0004-0000-0200-000045060000}"/>
    <hyperlink ref="S1308" r:id="rId1607" xr:uid="{00000000-0004-0000-0200-000046060000}"/>
    <hyperlink ref="F1309" r:id="rId1608" location="click=https://t.co/rTDTGol6ZR" xr:uid="{00000000-0004-0000-0200-000047060000}"/>
    <hyperlink ref="G1310" r:id="rId1609" xr:uid="{00000000-0004-0000-0200-000048060000}"/>
    <hyperlink ref="F1311" r:id="rId1610" xr:uid="{00000000-0004-0000-0200-000049060000}"/>
    <hyperlink ref="G1311" r:id="rId1611" xr:uid="{00000000-0004-0000-0200-00004A060000}"/>
    <hyperlink ref="S1311" r:id="rId1612" xr:uid="{00000000-0004-0000-0200-00004B060000}"/>
    <hyperlink ref="F1312" r:id="rId1613" xr:uid="{00000000-0004-0000-0200-00004C060000}"/>
    <hyperlink ref="C1313" r:id="rId1614" xr:uid="{00000000-0004-0000-0200-00004D060000}"/>
    <hyperlink ref="F1313" r:id="rId1615" xr:uid="{00000000-0004-0000-0200-00004E060000}"/>
    <hyperlink ref="S1313" r:id="rId1616" xr:uid="{00000000-0004-0000-0200-00004F060000}"/>
    <hyperlink ref="F1314" r:id="rId1617" xr:uid="{00000000-0004-0000-0200-000050060000}"/>
    <hyperlink ref="S1315" r:id="rId1618" xr:uid="{00000000-0004-0000-0200-000051060000}"/>
    <hyperlink ref="F1316" r:id="rId1619" xr:uid="{00000000-0004-0000-0200-000052060000}"/>
    <hyperlink ref="S1316" r:id="rId1620" xr:uid="{00000000-0004-0000-0200-000053060000}"/>
    <hyperlink ref="F1317" r:id="rId1621" xr:uid="{00000000-0004-0000-0200-000054060000}"/>
    <hyperlink ref="F1318" r:id="rId1622" xr:uid="{00000000-0004-0000-0200-000055060000}"/>
    <hyperlink ref="F1319" r:id="rId1623" xr:uid="{00000000-0004-0000-0200-000056060000}"/>
    <hyperlink ref="G1319" r:id="rId1624" xr:uid="{00000000-0004-0000-0200-000057060000}"/>
    <hyperlink ref="G1320" r:id="rId1625" xr:uid="{00000000-0004-0000-0200-000058060000}"/>
    <hyperlink ref="F1321" r:id="rId1626" xr:uid="{00000000-0004-0000-0200-000059060000}"/>
    <hyperlink ref="F1322" r:id="rId1627" xr:uid="{00000000-0004-0000-0200-00005A060000}"/>
    <hyperlink ref="F1324" r:id="rId1628" xr:uid="{00000000-0004-0000-0200-00005B060000}"/>
    <hyperlink ref="S1324" r:id="rId1629" xr:uid="{00000000-0004-0000-0200-00005C060000}"/>
    <hyperlink ref="F1327" r:id="rId1630" xr:uid="{00000000-0004-0000-0200-00005D060000}"/>
    <hyperlink ref="F1328" r:id="rId1631" xr:uid="{00000000-0004-0000-0200-00005E060000}"/>
    <hyperlink ref="G1328" r:id="rId1632" xr:uid="{00000000-0004-0000-0200-00005F060000}"/>
    <hyperlink ref="F1329" r:id="rId1633" xr:uid="{00000000-0004-0000-0200-000060060000}"/>
    <hyperlink ref="F1330" r:id="rId1634" xr:uid="{00000000-0004-0000-0200-000061060000}"/>
    <hyperlink ref="F1331" r:id="rId1635" xr:uid="{00000000-0004-0000-0200-000062060000}"/>
    <hyperlink ref="S1331" r:id="rId1636" xr:uid="{00000000-0004-0000-0200-000063060000}"/>
    <hyperlink ref="F1332" r:id="rId1637" xr:uid="{00000000-0004-0000-0200-000064060000}"/>
    <hyperlink ref="F1333" r:id="rId1638" xr:uid="{00000000-0004-0000-0200-000065060000}"/>
    <hyperlink ref="F1334" r:id="rId1639" xr:uid="{00000000-0004-0000-0200-000066060000}"/>
    <hyperlink ref="S1334" r:id="rId1640" xr:uid="{00000000-0004-0000-0200-000067060000}"/>
    <hyperlink ref="F1335" r:id="rId1641" xr:uid="{00000000-0004-0000-0200-000068060000}"/>
    <hyperlink ref="G1335" r:id="rId1642" xr:uid="{00000000-0004-0000-0200-000069060000}"/>
    <hyperlink ref="S1335" r:id="rId1643" xr:uid="{00000000-0004-0000-0200-00006A060000}"/>
    <hyperlink ref="F1336" r:id="rId1644" xr:uid="{00000000-0004-0000-0200-00006B060000}"/>
    <hyperlink ref="F1337" r:id="rId1645" xr:uid="{00000000-0004-0000-0200-00006C060000}"/>
    <hyperlink ref="S1337" r:id="rId1646" xr:uid="{00000000-0004-0000-0200-00006D060000}"/>
    <hyperlink ref="F1338" r:id="rId1647" xr:uid="{00000000-0004-0000-0200-00006E060000}"/>
    <hyperlink ref="G1338" r:id="rId1648" xr:uid="{00000000-0004-0000-0200-00006F060000}"/>
    <hyperlink ref="S1338" r:id="rId1649" xr:uid="{00000000-0004-0000-0200-000070060000}"/>
    <hyperlink ref="F1341" r:id="rId1650" xr:uid="{00000000-0004-0000-0200-000071060000}"/>
    <hyperlink ref="G1341" r:id="rId1651" xr:uid="{00000000-0004-0000-0200-000072060000}"/>
    <hyperlink ref="S1341" r:id="rId1652" xr:uid="{00000000-0004-0000-0200-000073060000}"/>
    <hyperlink ref="F1342" r:id="rId1653" xr:uid="{00000000-0004-0000-0200-000074060000}"/>
    <hyperlink ref="S1342" r:id="rId1654" xr:uid="{00000000-0004-0000-0200-000075060000}"/>
    <hyperlink ref="F1343" r:id="rId1655" xr:uid="{00000000-0004-0000-0200-000076060000}"/>
    <hyperlink ref="F1344" r:id="rId1656" xr:uid="{00000000-0004-0000-0200-000077060000}"/>
    <hyperlink ref="F1345" r:id="rId1657" xr:uid="{00000000-0004-0000-0200-000078060000}"/>
    <hyperlink ref="S1345" r:id="rId1658" xr:uid="{00000000-0004-0000-0200-000079060000}"/>
    <hyperlink ref="F1346" r:id="rId1659" xr:uid="{00000000-0004-0000-0200-00007A060000}"/>
    <hyperlink ref="F1347" r:id="rId1660" xr:uid="{00000000-0004-0000-0200-00007B060000}"/>
    <hyperlink ref="S1347" r:id="rId1661" xr:uid="{00000000-0004-0000-0200-00007C060000}"/>
    <hyperlink ref="F1348" r:id="rId1662" xr:uid="{00000000-0004-0000-0200-00007D060000}"/>
    <hyperlink ref="F1349" r:id="rId1663" xr:uid="{00000000-0004-0000-0200-00007E060000}"/>
    <hyperlink ref="F1350" r:id="rId1664" xr:uid="{00000000-0004-0000-0200-00007F060000}"/>
    <hyperlink ref="S1350" r:id="rId1665" xr:uid="{00000000-0004-0000-0200-000080060000}"/>
    <hyperlink ref="F1351" r:id="rId1666" xr:uid="{00000000-0004-0000-0200-000081060000}"/>
    <hyperlink ref="F1352" r:id="rId1667" xr:uid="{00000000-0004-0000-0200-000082060000}"/>
    <hyperlink ref="S1352" r:id="rId1668" xr:uid="{00000000-0004-0000-0200-000083060000}"/>
    <hyperlink ref="F1353" r:id="rId1669" xr:uid="{00000000-0004-0000-0200-000084060000}"/>
    <hyperlink ref="S1353" r:id="rId1670" xr:uid="{00000000-0004-0000-0200-000085060000}"/>
    <hyperlink ref="F1354" r:id="rId1671" xr:uid="{00000000-0004-0000-0200-000086060000}"/>
    <hyperlink ref="G1354" r:id="rId1672" xr:uid="{00000000-0004-0000-0200-000087060000}"/>
    <hyperlink ref="S1354" r:id="rId1673" xr:uid="{00000000-0004-0000-0200-000088060000}"/>
    <hyperlink ref="F1355" r:id="rId1674" xr:uid="{00000000-0004-0000-0200-000089060000}"/>
    <hyperlink ref="S1355" r:id="rId1675" xr:uid="{00000000-0004-0000-0200-00008A060000}"/>
    <hyperlink ref="F1356" r:id="rId1676" xr:uid="{00000000-0004-0000-0200-00008B060000}"/>
    <hyperlink ref="F1357" r:id="rId1677" xr:uid="{00000000-0004-0000-0200-00008C060000}"/>
    <hyperlink ref="S1357" r:id="rId1678" xr:uid="{00000000-0004-0000-0200-00008D060000}"/>
    <hyperlink ref="G1358" r:id="rId1679" xr:uid="{00000000-0004-0000-0200-00008E060000}"/>
    <hyperlink ref="S1358" r:id="rId1680" xr:uid="{00000000-0004-0000-0200-00008F060000}"/>
    <hyperlink ref="F1359" r:id="rId1681" xr:uid="{00000000-0004-0000-0200-000090060000}"/>
    <hyperlink ref="F1360" r:id="rId1682" xr:uid="{00000000-0004-0000-0200-000091060000}"/>
    <hyperlink ref="F1361" r:id="rId1683" xr:uid="{00000000-0004-0000-0200-000092060000}"/>
    <hyperlink ref="S1361" r:id="rId1684" xr:uid="{00000000-0004-0000-0200-000093060000}"/>
    <hyperlink ref="F1362" r:id="rId1685" xr:uid="{00000000-0004-0000-0200-000094060000}"/>
    <hyperlink ref="S1362" r:id="rId1686" xr:uid="{00000000-0004-0000-0200-000095060000}"/>
    <hyperlink ref="G1363" r:id="rId1687" xr:uid="{00000000-0004-0000-0200-000096060000}"/>
    <hyperlink ref="S1363" r:id="rId1688" xr:uid="{00000000-0004-0000-0200-000097060000}"/>
    <hyperlink ref="F1364" r:id="rId1689" xr:uid="{00000000-0004-0000-0200-000098060000}"/>
    <hyperlink ref="F1365" r:id="rId1690" xr:uid="{00000000-0004-0000-0200-000099060000}"/>
    <hyperlink ref="S1365" r:id="rId1691" xr:uid="{00000000-0004-0000-0200-00009A060000}"/>
    <hyperlink ref="S1366" r:id="rId1692" xr:uid="{00000000-0004-0000-0200-00009B060000}"/>
    <hyperlink ref="G1367" r:id="rId1693" xr:uid="{00000000-0004-0000-0200-00009C060000}"/>
    <hyperlink ref="S1367" r:id="rId1694" xr:uid="{00000000-0004-0000-0200-00009D060000}"/>
    <hyperlink ref="F1368" r:id="rId1695" xr:uid="{00000000-0004-0000-0200-00009E060000}"/>
    <hyperlink ref="F1370" r:id="rId1696" xr:uid="{00000000-0004-0000-0200-00009F060000}"/>
    <hyperlink ref="F1371" r:id="rId1697" xr:uid="{00000000-0004-0000-0200-0000A0060000}"/>
    <hyperlink ref="S1371" r:id="rId1698" xr:uid="{00000000-0004-0000-0200-0000A1060000}"/>
    <hyperlink ref="G1372" r:id="rId1699" xr:uid="{00000000-0004-0000-0200-0000A2060000}"/>
    <hyperlink ref="S1373" r:id="rId1700" xr:uid="{00000000-0004-0000-0200-0000A3060000}"/>
    <hyperlink ref="F1374" r:id="rId1701" xr:uid="{00000000-0004-0000-0200-0000A4060000}"/>
    <hyperlink ref="G1374" r:id="rId1702" xr:uid="{00000000-0004-0000-0200-0000A5060000}"/>
    <hyperlink ref="S1374" r:id="rId1703" xr:uid="{00000000-0004-0000-0200-0000A6060000}"/>
    <hyperlink ref="F1376" r:id="rId1704" xr:uid="{00000000-0004-0000-0200-0000A7060000}"/>
    <hyperlink ref="F1377" r:id="rId1705" xr:uid="{00000000-0004-0000-0200-0000A8060000}"/>
    <hyperlink ref="S1377" r:id="rId1706" xr:uid="{00000000-0004-0000-0200-0000A9060000}"/>
    <hyperlink ref="F1379" r:id="rId1707" xr:uid="{00000000-0004-0000-0200-0000AA060000}"/>
    <hyperlink ref="F1380" r:id="rId1708" xr:uid="{00000000-0004-0000-0200-0000AB060000}"/>
    <hyperlink ref="F1381" r:id="rId1709" xr:uid="{00000000-0004-0000-0200-0000AC060000}"/>
    <hyperlink ref="S1381" r:id="rId1710" xr:uid="{00000000-0004-0000-0200-0000AD060000}"/>
    <hyperlink ref="F1383" r:id="rId1711" xr:uid="{00000000-0004-0000-0200-0000AE060000}"/>
    <hyperlink ref="F1384" r:id="rId1712" xr:uid="{00000000-0004-0000-0200-0000AF060000}"/>
    <hyperlink ref="S1384" r:id="rId1713" xr:uid="{00000000-0004-0000-0200-0000B0060000}"/>
    <hyperlink ref="F1386" r:id="rId1714" xr:uid="{00000000-0004-0000-0200-0000B1060000}"/>
    <hyperlink ref="S1386" r:id="rId1715" xr:uid="{00000000-0004-0000-0200-0000B2060000}"/>
    <hyperlink ref="F1387" r:id="rId1716" xr:uid="{00000000-0004-0000-0200-0000B3060000}"/>
    <hyperlink ref="F1389" r:id="rId1717" xr:uid="{00000000-0004-0000-0200-0000B4060000}"/>
    <hyperlink ref="S1389" r:id="rId1718" xr:uid="{00000000-0004-0000-0200-0000B5060000}"/>
    <hyperlink ref="F1393" r:id="rId1719" xr:uid="{00000000-0004-0000-0200-0000B6060000}"/>
    <hyperlink ref="G1393" r:id="rId1720" xr:uid="{00000000-0004-0000-0200-0000B7060000}"/>
    <hyperlink ref="S1393" r:id="rId1721" xr:uid="{00000000-0004-0000-0200-0000B8060000}"/>
    <hyperlink ref="F1394" r:id="rId1722" xr:uid="{00000000-0004-0000-0200-0000B9060000}"/>
    <hyperlink ref="F1395" r:id="rId1723" xr:uid="{00000000-0004-0000-0200-0000BA060000}"/>
    <hyperlink ref="F1396" r:id="rId1724" xr:uid="{00000000-0004-0000-0200-0000BB060000}"/>
    <hyperlink ref="S1397" r:id="rId1725" xr:uid="{00000000-0004-0000-0200-0000BC060000}"/>
    <hyperlink ref="F1398" r:id="rId1726" xr:uid="{00000000-0004-0000-0200-0000BD060000}"/>
    <hyperlink ref="S1398" r:id="rId1727" xr:uid="{00000000-0004-0000-0200-0000BE060000}"/>
    <hyperlink ref="F1399" r:id="rId1728" xr:uid="{00000000-0004-0000-0200-0000BF060000}"/>
    <hyperlink ref="F1400" r:id="rId1729" xr:uid="{00000000-0004-0000-0200-0000C0060000}"/>
    <hyperlink ref="S1400" r:id="rId1730" xr:uid="{00000000-0004-0000-0200-0000C1060000}"/>
    <hyperlink ref="F1401" r:id="rId1731" xr:uid="{00000000-0004-0000-0200-0000C2060000}"/>
    <hyperlink ref="S1401" r:id="rId1732" xr:uid="{00000000-0004-0000-0200-0000C3060000}"/>
    <hyperlink ref="F1402" r:id="rId1733" xr:uid="{00000000-0004-0000-0200-0000C4060000}"/>
    <hyperlink ref="F1403" r:id="rId1734" xr:uid="{00000000-0004-0000-0200-0000C5060000}"/>
    <hyperlink ref="S1403" r:id="rId1735" xr:uid="{00000000-0004-0000-0200-0000C6060000}"/>
    <hyperlink ref="F1404" r:id="rId1736" xr:uid="{00000000-0004-0000-0200-0000C7060000}"/>
    <hyperlink ref="S1404" r:id="rId1737" xr:uid="{00000000-0004-0000-0200-0000C8060000}"/>
    <hyperlink ref="G1405" r:id="rId1738" xr:uid="{00000000-0004-0000-0200-0000C9060000}"/>
    <hyperlink ref="F1406" r:id="rId1739" xr:uid="{00000000-0004-0000-0200-0000CA060000}"/>
    <hyperlink ref="G1406" r:id="rId1740" xr:uid="{00000000-0004-0000-0200-0000CB060000}"/>
    <hyperlink ref="S1406" r:id="rId1741" xr:uid="{00000000-0004-0000-0200-0000CC060000}"/>
    <hyperlink ref="F1407" r:id="rId1742" xr:uid="{00000000-0004-0000-0200-0000CD060000}"/>
    <hyperlink ref="S1407" r:id="rId1743" xr:uid="{00000000-0004-0000-0200-0000CE060000}"/>
    <hyperlink ref="F1409" r:id="rId1744" xr:uid="{00000000-0004-0000-0200-0000CF060000}"/>
    <hyperlink ref="F1410" r:id="rId1745" xr:uid="{00000000-0004-0000-0200-0000D0060000}"/>
    <hyperlink ref="G1410" r:id="rId1746" xr:uid="{00000000-0004-0000-0200-0000D1060000}"/>
    <hyperlink ref="F1411" r:id="rId1747" xr:uid="{00000000-0004-0000-0200-0000D2060000}"/>
    <hyperlink ref="F1412" r:id="rId1748" xr:uid="{00000000-0004-0000-0200-0000D3060000}"/>
    <hyperlink ref="F1413" r:id="rId1749" xr:uid="{00000000-0004-0000-0200-0000D4060000}"/>
    <hyperlink ref="G1414" r:id="rId1750" xr:uid="{00000000-0004-0000-0200-0000D5060000}"/>
    <hyperlink ref="S1415" r:id="rId1751" xr:uid="{00000000-0004-0000-0200-0000D6060000}"/>
    <hyperlink ref="S1417" r:id="rId1752" xr:uid="{00000000-0004-0000-0200-0000D7060000}"/>
    <hyperlink ref="F1418" r:id="rId1753" xr:uid="{00000000-0004-0000-0200-0000D8060000}"/>
    <hyperlink ref="F1419" r:id="rId1754" xr:uid="{00000000-0004-0000-0200-0000D9060000}"/>
    <hyperlink ref="G1419" r:id="rId1755" xr:uid="{00000000-0004-0000-0200-0000DA060000}"/>
    <hyperlink ref="S1419" r:id="rId1756" xr:uid="{00000000-0004-0000-0200-0000DB060000}"/>
    <hyperlink ref="F1420" r:id="rId1757" xr:uid="{00000000-0004-0000-0200-0000DC060000}"/>
    <hyperlink ref="S1420" r:id="rId1758" xr:uid="{00000000-0004-0000-0200-0000DD060000}"/>
    <hyperlink ref="S1422" r:id="rId1759" xr:uid="{00000000-0004-0000-0200-0000DE060000}"/>
    <hyperlink ref="G1423" r:id="rId1760" xr:uid="{00000000-0004-0000-0200-0000DF060000}"/>
    <hyperlink ref="S1423" r:id="rId1761" xr:uid="{00000000-0004-0000-0200-0000E0060000}"/>
    <hyperlink ref="F1424" r:id="rId1762" xr:uid="{00000000-0004-0000-0200-0000E1060000}"/>
    <hyperlink ref="G1424" r:id="rId1763" xr:uid="{00000000-0004-0000-0200-0000E2060000}"/>
    <hyperlink ref="S1424" r:id="rId1764" xr:uid="{00000000-0004-0000-0200-0000E3060000}"/>
    <hyperlink ref="F1425" r:id="rId1765" xr:uid="{00000000-0004-0000-0200-0000E4060000}"/>
    <hyperlink ref="F1426" r:id="rId1766" xr:uid="{00000000-0004-0000-0200-0000E5060000}"/>
    <hyperlink ref="F1427" r:id="rId1767" xr:uid="{00000000-0004-0000-0200-0000E6060000}"/>
    <hyperlink ref="S1429" r:id="rId1768" xr:uid="{00000000-0004-0000-0200-0000E7060000}"/>
    <hyperlink ref="F1431" r:id="rId1769" xr:uid="{00000000-0004-0000-0200-0000E8060000}"/>
    <hyperlink ref="G1431" r:id="rId1770" xr:uid="{00000000-0004-0000-0200-0000E9060000}"/>
    <hyperlink ref="S1431" r:id="rId1771" xr:uid="{00000000-0004-0000-0200-0000EA060000}"/>
    <hyperlink ref="F1432" r:id="rId1772" xr:uid="{00000000-0004-0000-0200-0000EB060000}"/>
    <hyperlink ref="G1432" r:id="rId1773" xr:uid="{00000000-0004-0000-0200-0000EC060000}"/>
    <hyperlink ref="S1432" r:id="rId1774" xr:uid="{00000000-0004-0000-0200-0000ED060000}"/>
    <hyperlink ref="F1433" r:id="rId1775" xr:uid="{00000000-0004-0000-0200-0000EE060000}"/>
    <hyperlink ref="S1433" r:id="rId1776" xr:uid="{00000000-0004-0000-0200-0000EF060000}"/>
    <hyperlink ref="F1434" r:id="rId1777" xr:uid="{00000000-0004-0000-0200-0000F0060000}"/>
    <hyperlink ref="F1435" r:id="rId1778" xr:uid="{00000000-0004-0000-0200-0000F1060000}"/>
    <hyperlink ref="F1436" r:id="rId1779" xr:uid="{00000000-0004-0000-0200-0000F2060000}"/>
    <hyperlink ref="S1437" r:id="rId1780" xr:uid="{00000000-0004-0000-0200-0000F3060000}"/>
    <hyperlink ref="S1438" r:id="rId1781" xr:uid="{00000000-0004-0000-0200-0000F4060000}"/>
    <hyperlink ref="F1439" r:id="rId1782" xr:uid="{00000000-0004-0000-0200-0000F5060000}"/>
    <hyperlink ref="F1440" r:id="rId1783" xr:uid="{00000000-0004-0000-0200-0000F6060000}"/>
    <hyperlink ref="F1441" r:id="rId1784" xr:uid="{00000000-0004-0000-0200-0000F7060000}"/>
    <hyperlink ref="F1442" r:id="rId1785" xr:uid="{00000000-0004-0000-0200-0000F8060000}"/>
    <hyperlink ref="F1443" r:id="rId1786" xr:uid="{00000000-0004-0000-0200-0000F9060000}"/>
    <hyperlink ref="G1444" r:id="rId1787" xr:uid="{00000000-0004-0000-0200-0000FA060000}"/>
    <hyperlink ref="F1445" r:id="rId1788" xr:uid="{00000000-0004-0000-0200-0000FB060000}"/>
    <hyperlink ref="F1446" r:id="rId1789" xr:uid="{00000000-0004-0000-0200-0000FC060000}"/>
    <hyperlink ref="F1447" r:id="rId1790" xr:uid="{00000000-0004-0000-0200-0000FD060000}"/>
    <hyperlink ref="S1447" r:id="rId1791" xr:uid="{00000000-0004-0000-0200-0000FE060000}"/>
    <hyperlink ref="G1450" r:id="rId1792" xr:uid="{00000000-0004-0000-0200-0000FF060000}"/>
    <hyperlink ref="S1450" r:id="rId1793" xr:uid="{00000000-0004-0000-0200-000000070000}"/>
    <hyperlink ref="F1451" r:id="rId1794" xr:uid="{00000000-0004-0000-0200-000001070000}"/>
    <hyperlink ref="G1453" r:id="rId1795" xr:uid="{00000000-0004-0000-0200-000002070000}"/>
    <hyperlink ref="S1453" r:id="rId1796" xr:uid="{00000000-0004-0000-0200-000003070000}"/>
    <hyperlink ref="G1454" r:id="rId1797" xr:uid="{00000000-0004-0000-0200-000004070000}"/>
    <hyperlink ref="S1454" r:id="rId1798" xr:uid="{00000000-0004-0000-0200-000005070000}"/>
    <hyperlink ref="G1455" r:id="rId1799" xr:uid="{00000000-0004-0000-0200-000006070000}"/>
    <hyperlink ref="S1455" r:id="rId1800" xr:uid="{00000000-0004-0000-0200-000007070000}"/>
    <hyperlink ref="G1456" r:id="rId1801" xr:uid="{00000000-0004-0000-0200-000008070000}"/>
    <hyperlink ref="S1456" r:id="rId1802" xr:uid="{00000000-0004-0000-0200-000009070000}"/>
    <hyperlink ref="F1457" r:id="rId1803" xr:uid="{00000000-0004-0000-0200-00000A070000}"/>
    <hyperlink ref="S1457" r:id="rId1804" xr:uid="{00000000-0004-0000-0200-00000B070000}"/>
    <hyperlink ref="F1461" r:id="rId1805" xr:uid="{00000000-0004-0000-0200-00000C070000}"/>
    <hyperlink ref="S1462" r:id="rId1806" xr:uid="{00000000-0004-0000-0200-00000D070000}"/>
    <hyperlink ref="F1464" r:id="rId1807" xr:uid="{00000000-0004-0000-0200-00000E070000}"/>
    <hyperlink ref="G1464" r:id="rId1808" xr:uid="{00000000-0004-0000-0200-00000F070000}"/>
    <hyperlink ref="F1466" r:id="rId1809" xr:uid="{00000000-0004-0000-0200-000010070000}"/>
    <hyperlink ref="S1467" r:id="rId1810" xr:uid="{00000000-0004-0000-0200-000011070000}"/>
    <hyperlink ref="F1468" r:id="rId1811" xr:uid="{00000000-0004-0000-0200-000012070000}"/>
    <hyperlink ref="F1469" r:id="rId1812" xr:uid="{00000000-0004-0000-0200-000013070000}"/>
    <hyperlink ref="F1470" r:id="rId1813" xr:uid="{00000000-0004-0000-0200-000014070000}"/>
    <hyperlink ref="G1470" r:id="rId1814" xr:uid="{00000000-0004-0000-0200-000015070000}"/>
    <hyperlink ref="F1471" r:id="rId1815" xr:uid="{00000000-0004-0000-0200-000016070000}"/>
    <hyperlink ref="F1472" r:id="rId1816" xr:uid="{00000000-0004-0000-0200-000017070000}"/>
    <hyperlink ref="G1474" r:id="rId1817" xr:uid="{00000000-0004-0000-0200-000018070000}"/>
    <hyperlink ref="S1477" r:id="rId1818" xr:uid="{00000000-0004-0000-0200-000019070000}"/>
    <hyperlink ref="G1478" r:id="rId1819" xr:uid="{00000000-0004-0000-0200-00001A070000}"/>
    <hyperlink ref="G1479" r:id="rId1820" xr:uid="{00000000-0004-0000-0200-00001B070000}"/>
    <hyperlink ref="F1480" r:id="rId1821" xr:uid="{00000000-0004-0000-0200-00001C070000}"/>
    <hyperlink ref="S1480" r:id="rId1822" xr:uid="{00000000-0004-0000-0200-00001D070000}"/>
    <hyperlink ref="G1482" r:id="rId1823" xr:uid="{00000000-0004-0000-0200-00001E070000}"/>
    <hyperlink ref="G1484" r:id="rId1824" xr:uid="{00000000-0004-0000-0200-00001F070000}"/>
    <hyperlink ref="S1485" r:id="rId1825" xr:uid="{00000000-0004-0000-0200-000020070000}"/>
    <hyperlink ref="F1487" r:id="rId1826" xr:uid="{00000000-0004-0000-0200-000021070000}"/>
    <hyperlink ref="G1491" r:id="rId1827" xr:uid="{00000000-0004-0000-0200-000022070000}"/>
    <hyperlink ref="S1492" r:id="rId1828" xr:uid="{00000000-0004-0000-0200-000023070000}"/>
    <hyperlink ref="G1493" r:id="rId1829" xr:uid="{00000000-0004-0000-0200-000024070000}"/>
    <hyperlink ref="S1493" r:id="rId1830" xr:uid="{00000000-0004-0000-0200-000025070000}"/>
    <hyperlink ref="G1494" r:id="rId1831" xr:uid="{00000000-0004-0000-0200-000026070000}"/>
    <hyperlink ref="F1496" r:id="rId1832" xr:uid="{00000000-0004-0000-0200-000027070000}"/>
    <hyperlink ref="G1496" r:id="rId1833" xr:uid="{00000000-0004-0000-0200-000028070000}"/>
    <hyperlink ref="G1498" r:id="rId1834" xr:uid="{00000000-0004-0000-0200-000029070000}"/>
    <hyperlink ref="F1499" r:id="rId1835" xr:uid="{00000000-0004-0000-0200-00002A070000}"/>
    <hyperlink ref="G1499" r:id="rId1836" xr:uid="{00000000-0004-0000-0200-00002B070000}"/>
    <hyperlink ref="F1500" r:id="rId1837" xr:uid="{00000000-0004-0000-0200-00002C070000}"/>
    <hyperlink ref="S1500" r:id="rId1838" xr:uid="{00000000-0004-0000-0200-00002D070000}"/>
    <hyperlink ref="F1501" r:id="rId1839" xr:uid="{00000000-0004-0000-0200-00002E070000}"/>
    <hyperlink ref="F1503" r:id="rId1840" xr:uid="{00000000-0004-0000-0200-00002F070000}"/>
    <hyperlink ref="G1504" r:id="rId1841" xr:uid="{00000000-0004-0000-0200-000030070000}"/>
    <hyperlink ref="F1505" r:id="rId1842" xr:uid="{00000000-0004-0000-0200-000031070000}"/>
    <hyperlink ref="S1506" r:id="rId1843" xr:uid="{00000000-0004-0000-0200-000032070000}"/>
    <hyperlink ref="S1507" r:id="rId1844" xr:uid="{00000000-0004-0000-0200-000033070000}"/>
    <hyperlink ref="G1510" r:id="rId1845" xr:uid="{00000000-0004-0000-0200-000034070000}"/>
    <hyperlink ref="F1511" r:id="rId1846" xr:uid="{00000000-0004-0000-0200-000035070000}"/>
    <hyperlink ref="F1514" r:id="rId1847" xr:uid="{00000000-0004-0000-0200-000036070000}"/>
    <hyperlink ref="F1515" r:id="rId1848" xr:uid="{00000000-0004-0000-0200-000037070000}"/>
    <hyperlink ref="F1516" r:id="rId1849" xr:uid="{00000000-0004-0000-0200-000038070000}"/>
    <hyperlink ref="F1518" r:id="rId1850" xr:uid="{00000000-0004-0000-0200-000039070000}"/>
    <hyperlink ref="G1518" r:id="rId1851" xr:uid="{00000000-0004-0000-0200-00003A070000}"/>
    <hyperlink ref="G1521" r:id="rId1852" xr:uid="{00000000-0004-0000-0200-00003B070000}"/>
    <hyperlink ref="F1522" r:id="rId1853" xr:uid="{00000000-0004-0000-0200-00003C070000}"/>
    <hyperlink ref="F1524" r:id="rId1854" xr:uid="{00000000-0004-0000-0200-00003D070000}"/>
    <hyperlink ref="F1526" r:id="rId1855" xr:uid="{00000000-0004-0000-0200-00003E070000}"/>
    <hyperlink ref="G1526" r:id="rId1856" xr:uid="{00000000-0004-0000-0200-00003F070000}"/>
    <hyperlink ref="S1526" r:id="rId1857" xr:uid="{00000000-0004-0000-0200-000040070000}"/>
    <hyperlink ref="F1527" r:id="rId1858" xr:uid="{00000000-0004-0000-0200-000041070000}"/>
    <hyperlink ref="G1530" r:id="rId1859" xr:uid="{00000000-0004-0000-0200-000042070000}"/>
    <hyperlink ref="S1530" r:id="rId1860" xr:uid="{00000000-0004-0000-0200-000043070000}"/>
    <hyperlink ref="F1531" r:id="rId1861" xr:uid="{00000000-0004-0000-0200-000044070000}"/>
    <hyperlink ref="S1531" r:id="rId1862" xr:uid="{00000000-0004-0000-0200-000045070000}"/>
    <hyperlink ref="G1532" r:id="rId1863" xr:uid="{00000000-0004-0000-0200-000046070000}"/>
    <hyperlink ref="S1532" r:id="rId1864" xr:uid="{00000000-0004-0000-0200-000047070000}"/>
    <hyperlink ref="G1533" r:id="rId1865" xr:uid="{00000000-0004-0000-0200-000048070000}"/>
    <hyperlink ref="F1534" r:id="rId1866" xr:uid="{00000000-0004-0000-0200-000049070000}"/>
    <hyperlink ref="F1535" r:id="rId1867" xr:uid="{00000000-0004-0000-0200-00004A070000}"/>
    <hyperlink ref="G1538" r:id="rId1868" xr:uid="{00000000-0004-0000-0200-00004B070000}"/>
    <hyperlink ref="G1539" r:id="rId1869" xr:uid="{00000000-0004-0000-0200-00004C070000}"/>
    <hyperlink ref="G1540" r:id="rId1870" xr:uid="{00000000-0004-0000-0200-00004D070000}"/>
    <hyperlink ref="S1541" r:id="rId1871" xr:uid="{00000000-0004-0000-0200-00004E070000}"/>
    <hyperlink ref="G1542" r:id="rId1872" xr:uid="{00000000-0004-0000-0200-00004F070000}"/>
    <hyperlink ref="G1543" r:id="rId1873" xr:uid="{00000000-0004-0000-0200-000050070000}"/>
    <hyperlink ref="S1544" r:id="rId1874" xr:uid="{00000000-0004-0000-0200-000051070000}"/>
    <hyperlink ref="F1545" r:id="rId1875" xr:uid="{00000000-0004-0000-0200-000052070000}"/>
    <hyperlink ref="F1547" r:id="rId1876" xr:uid="{00000000-0004-0000-0200-000053070000}"/>
    <hyperlink ref="F1548" r:id="rId1877" xr:uid="{00000000-0004-0000-0200-000054070000}"/>
    <hyperlink ref="S1548" r:id="rId1878" xr:uid="{00000000-0004-0000-0200-000055070000}"/>
    <hyperlink ref="G1549" r:id="rId1879" xr:uid="{00000000-0004-0000-0200-000056070000}"/>
    <hyperlink ref="F1550" r:id="rId1880" xr:uid="{00000000-0004-0000-0200-000057070000}"/>
    <hyperlink ref="G1550" r:id="rId1881" xr:uid="{00000000-0004-0000-0200-000058070000}"/>
    <hyperlink ref="F1552" r:id="rId1882" xr:uid="{00000000-0004-0000-0200-000059070000}"/>
    <hyperlink ref="G1553" r:id="rId1883" xr:uid="{00000000-0004-0000-0200-00005A070000}"/>
    <hyperlink ref="F1554" r:id="rId1884" xr:uid="{00000000-0004-0000-0200-00005B070000}"/>
    <hyperlink ref="F1556" r:id="rId1885" xr:uid="{00000000-0004-0000-0200-00005C070000}"/>
    <hyperlink ref="S1558" r:id="rId1886" xr:uid="{00000000-0004-0000-0200-00005D070000}"/>
    <hyperlink ref="G1560" r:id="rId1887" xr:uid="{00000000-0004-0000-0200-00005E070000}"/>
    <hyperlink ref="G1561" r:id="rId1888" xr:uid="{00000000-0004-0000-0200-00005F070000}"/>
    <hyperlink ref="S1561" r:id="rId1889" xr:uid="{00000000-0004-0000-0200-000060070000}"/>
    <hyperlink ref="F1562" r:id="rId1890" xr:uid="{00000000-0004-0000-0200-000061070000}"/>
    <hyperlink ref="R1562" r:id="rId1891" xr:uid="{00000000-0004-0000-0200-000062070000}"/>
    <hyperlink ref="S1562" r:id="rId1892" xr:uid="{00000000-0004-0000-0200-000063070000}"/>
    <hyperlink ref="F1563" r:id="rId1893" xr:uid="{00000000-0004-0000-0200-000064070000}"/>
    <hyperlink ref="G1563" r:id="rId1894" xr:uid="{00000000-0004-0000-0200-000065070000}"/>
    <hyperlink ref="S1565" r:id="rId1895" xr:uid="{00000000-0004-0000-0200-000066070000}"/>
    <hyperlink ref="G1566" r:id="rId1896" xr:uid="{00000000-0004-0000-0200-000067070000}"/>
    <hyperlink ref="F1567" r:id="rId1897" xr:uid="{00000000-0004-0000-0200-000068070000}"/>
    <hyperlink ref="F1568" r:id="rId1898" xr:uid="{00000000-0004-0000-0200-000069070000}"/>
    <hyperlink ref="S1568" r:id="rId1899" xr:uid="{00000000-0004-0000-0200-00006A070000}"/>
    <hyperlink ref="G1570" r:id="rId1900" xr:uid="{00000000-0004-0000-0200-00006B070000}"/>
    <hyperlink ref="S1571" r:id="rId1901" xr:uid="{00000000-0004-0000-0200-00006C070000}"/>
    <hyperlink ref="G1573" r:id="rId1902" xr:uid="{00000000-0004-0000-0200-00006D070000}"/>
    <hyperlink ref="S1573" r:id="rId1903" xr:uid="{00000000-0004-0000-0200-00006E070000}"/>
    <hyperlink ref="G1574" r:id="rId1904" xr:uid="{00000000-0004-0000-0200-00006F070000}"/>
    <hyperlink ref="S1574" r:id="rId1905" xr:uid="{00000000-0004-0000-0200-000070070000}"/>
    <hyperlink ref="F1575" r:id="rId1906" xr:uid="{00000000-0004-0000-0200-000071070000}"/>
    <hyperlink ref="S1575" r:id="rId1907" xr:uid="{00000000-0004-0000-0200-000072070000}"/>
    <hyperlink ref="F1576" r:id="rId1908" xr:uid="{00000000-0004-0000-0200-000073070000}"/>
    <hyperlink ref="G1576" r:id="rId1909" xr:uid="{00000000-0004-0000-0200-000074070000}"/>
    <hyperlink ref="F1577" r:id="rId1910" xr:uid="{00000000-0004-0000-0200-000075070000}"/>
    <hyperlink ref="G1577" r:id="rId1911" xr:uid="{00000000-0004-0000-0200-000076070000}"/>
    <hyperlink ref="S1577" r:id="rId1912" xr:uid="{00000000-0004-0000-0200-000077070000}"/>
    <hyperlink ref="G1579" r:id="rId1913" xr:uid="{00000000-0004-0000-0200-000078070000}"/>
    <hyperlink ref="S1580" r:id="rId1914" xr:uid="{00000000-0004-0000-0200-000079070000}"/>
    <hyperlink ref="F1581" r:id="rId1915" xr:uid="{00000000-0004-0000-0200-00007A070000}"/>
    <hyperlink ref="G1582" r:id="rId1916" xr:uid="{00000000-0004-0000-0200-00007B070000}"/>
    <hyperlink ref="F1583" r:id="rId1917" xr:uid="{00000000-0004-0000-0200-00007C070000}"/>
    <hyperlink ref="G1584" r:id="rId1918" xr:uid="{00000000-0004-0000-0200-00007D070000}"/>
    <hyperlink ref="G1585" r:id="rId1919" xr:uid="{00000000-0004-0000-0200-00007E070000}"/>
    <hyperlink ref="F1586" r:id="rId1920" xr:uid="{00000000-0004-0000-0200-00007F070000}"/>
    <hyperlink ref="G1586" r:id="rId1921" xr:uid="{00000000-0004-0000-0200-000080070000}"/>
    <hyperlink ref="S1586" r:id="rId1922" xr:uid="{00000000-0004-0000-0200-000081070000}"/>
    <hyperlink ref="F1587" r:id="rId1923" xr:uid="{00000000-0004-0000-0200-000082070000}"/>
    <hyperlink ref="F1588" r:id="rId1924" xr:uid="{00000000-0004-0000-0200-000083070000}"/>
    <hyperlink ref="F1589" r:id="rId1925" xr:uid="{00000000-0004-0000-0200-000084070000}"/>
    <hyperlink ref="S1589" r:id="rId1926" xr:uid="{00000000-0004-0000-0200-000085070000}"/>
    <hyperlink ref="G1590" r:id="rId1927" xr:uid="{00000000-0004-0000-0200-000086070000}"/>
    <hyperlink ref="S1590" r:id="rId1928" xr:uid="{00000000-0004-0000-0200-000087070000}"/>
    <hyperlink ref="F1591" r:id="rId1929" xr:uid="{00000000-0004-0000-0200-000088070000}"/>
    <hyperlink ref="G1591" r:id="rId1930" xr:uid="{00000000-0004-0000-0200-000089070000}"/>
    <hyperlink ref="S1591" r:id="rId1931" xr:uid="{00000000-0004-0000-0200-00008A070000}"/>
    <hyperlink ref="G1592" r:id="rId1932" xr:uid="{00000000-0004-0000-0200-00008B070000}"/>
    <hyperlink ref="S1592" r:id="rId1933" xr:uid="{00000000-0004-0000-0200-00008C070000}"/>
    <hyperlink ref="G1593" r:id="rId1934" xr:uid="{00000000-0004-0000-0200-00008D070000}"/>
    <hyperlink ref="S1593" r:id="rId1935" xr:uid="{00000000-0004-0000-0200-00008E070000}"/>
    <hyperlink ref="F1595" r:id="rId1936" xr:uid="{00000000-0004-0000-0200-00008F070000}"/>
    <hyperlink ref="G1595" r:id="rId1937" xr:uid="{00000000-0004-0000-0200-000090070000}"/>
    <hyperlink ref="F1596" r:id="rId1938" xr:uid="{00000000-0004-0000-0200-000091070000}"/>
    <hyperlink ref="F1597" r:id="rId1939" xr:uid="{00000000-0004-0000-0200-000092070000}"/>
    <hyperlink ref="G1597" r:id="rId1940" xr:uid="{00000000-0004-0000-0200-000093070000}"/>
    <hyperlink ref="S1597" r:id="rId1941" xr:uid="{00000000-0004-0000-0200-000094070000}"/>
    <hyperlink ref="G1598" r:id="rId1942" xr:uid="{00000000-0004-0000-0200-000095070000}"/>
    <hyperlink ref="S1598" r:id="rId1943" xr:uid="{00000000-0004-0000-0200-000096070000}"/>
    <hyperlink ref="G1599" r:id="rId1944" xr:uid="{00000000-0004-0000-0200-000097070000}"/>
    <hyperlink ref="S1599" r:id="rId1945" xr:uid="{00000000-0004-0000-0200-000098070000}"/>
    <hyperlink ref="S1601" r:id="rId1946" xr:uid="{00000000-0004-0000-0200-000099070000}"/>
    <hyperlink ref="F1602" r:id="rId1947" xr:uid="{00000000-0004-0000-0200-00009A070000}"/>
    <hyperlink ref="F1603" r:id="rId1948" xr:uid="{00000000-0004-0000-0200-00009B070000}"/>
    <hyperlink ref="G1603" r:id="rId1949" xr:uid="{00000000-0004-0000-0200-00009C070000}"/>
    <hyperlink ref="F1604" r:id="rId1950" xr:uid="{00000000-0004-0000-0200-00009D070000}"/>
    <hyperlink ref="G1604" r:id="rId1951" xr:uid="{00000000-0004-0000-0200-00009E070000}"/>
    <hyperlink ref="S1604" r:id="rId1952" xr:uid="{00000000-0004-0000-0200-00009F070000}"/>
    <hyperlink ref="F1605" r:id="rId1953" xr:uid="{00000000-0004-0000-0200-0000A0070000}"/>
    <hyperlink ref="G1605" r:id="rId1954" xr:uid="{00000000-0004-0000-0200-0000A1070000}"/>
    <hyperlink ref="F1606" r:id="rId1955" xr:uid="{00000000-0004-0000-0200-0000A2070000}"/>
    <hyperlink ref="G1606" r:id="rId1956" xr:uid="{00000000-0004-0000-0200-0000A3070000}"/>
    <hyperlink ref="F1607" r:id="rId1957" xr:uid="{00000000-0004-0000-0200-0000A4070000}"/>
    <hyperlink ref="G1607" r:id="rId1958" xr:uid="{00000000-0004-0000-0200-0000A5070000}"/>
    <hyperlink ref="F1608" r:id="rId1959" xr:uid="{00000000-0004-0000-0200-0000A6070000}"/>
    <hyperlink ref="S1608" r:id="rId1960" xr:uid="{00000000-0004-0000-0200-0000A7070000}"/>
    <hyperlink ref="F1609" r:id="rId1961" xr:uid="{00000000-0004-0000-0200-0000A8070000}"/>
    <hyperlink ref="G1609" r:id="rId1962" xr:uid="{00000000-0004-0000-0200-0000A9070000}"/>
    <hyperlink ref="G1610" r:id="rId1963" xr:uid="{00000000-0004-0000-0200-0000AA070000}"/>
    <hyperlink ref="F1612" r:id="rId1964" xr:uid="{00000000-0004-0000-0200-0000AB070000}"/>
    <hyperlink ref="F1613" r:id="rId1965" xr:uid="{00000000-0004-0000-0200-0000AC070000}"/>
    <hyperlink ref="F1614" r:id="rId1966" xr:uid="{00000000-0004-0000-0200-0000AD070000}"/>
    <hyperlink ref="S1614" r:id="rId1967" xr:uid="{00000000-0004-0000-0200-0000AE070000}"/>
    <hyperlink ref="F1616" r:id="rId1968" xr:uid="{00000000-0004-0000-0200-0000AF070000}"/>
    <hyperlink ref="G1617" r:id="rId1969" xr:uid="{00000000-0004-0000-0200-0000B0070000}"/>
    <hyperlink ref="G1618" r:id="rId1970" xr:uid="{00000000-0004-0000-0200-0000B1070000}"/>
    <hyperlink ref="S1618" r:id="rId1971" xr:uid="{00000000-0004-0000-0200-0000B2070000}"/>
    <hyperlink ref="G1619" r:id="rId1972" xr:uid="{00000000-0004-0000-0200-0000B3070000}"/>
    <hyperlink ref="S1619" r:id="rId1973" xr:uid="{00000000-0004-0000-0200-0000B4070000}"/>
    <hyperlink ref="G1620" r:id="rId1974" xr:uid="{00000000-0004-0000-0200-0000B5070000}"/>
    <hyperlink ref="G1621" r:id="rId1975" xr:uid="{00000000-0004-0000-0200-0000B6070000}"/>
    <hyperlink ref="G1622" r:id="rId1976" xr:uid="{00000000-0004-0000-0200-0000B7070000}"/>
    <hyperlink ref="S1622" r:id="rId1977" xr:uid="{00000000-0004-0000-0200-0000B8070000}"/>
    <hyperlink ref="G1623" r:id="rId1978" xr:uid="{00000000-0004-0000-0200-0000B9070000}"/>
    <hyperlink ref="S1623" r:id="rId1979" xr:uid="{00000000-0004-0000-0200-0000BA070000}"/>
    <hyperlink ref="G1624" r:id="rId1980" xr:uid="{00000000-0004-0000-0200-0000BB070000}"/>
    <hyperlink ref="G1625" r:id="rId1981" xr:uid="{00000000-0004-0000-0200-0000BC070000}"/>
    <hyperlink ref="G1626" r:id="rId1982" xr:uid="{00000000-0004-0000-0200-0000BD070000}"/>
    <hyperlink ref="S1626" r:id="rId1983" xr:uid="{00000000-0004-0000-0200-0000BE070000}"/>
    <hyperlink ref="G1627" r:id="rId1984" xr:uid="{00000000-0004-0000-0200-0000BF070000}"/>
    <hyperlink ref="S1627" r:id="rId1985" xr:uid="{00000000-0004-0000-0200-0000C0070000}"/>
    <hyperlink ref="G1628" r:id="rId1986" xr:uid="{00000000-0004-0000-0200-0000C1070000}"/>
    <hyperlink ref="F1629" r:id="rId1987" xr:uid="{00000000-0004-0000-0200-0000C2070000}"/>
    <hyperlink ref="F1630" r:id="rId1988" xr:uid="{00000000-0004-0000-0200-0000C3070000}"/>
    <hyperlink ref="G1630" r:id="rId1989" xr:uid="{00000000-0004-0000-0200-0000C4070000}"/>
    <hyperlink ref="F1632" r:id="rId1990" xr:uid="{00000000-0004-0000-0200-0000C5070000}"/>
    <hyperlink ref="G1633" r:id="rId1991" xr:uid="{00000000-0004-0000-0200-0000C6070000}"/>
    <hyperlink ref="F1634" r:id="rId1992" xr:uid="{00000000-0004-0000-0200-0000C7070000}"/>
    <hyperlink ref="G1634" r:id="rId1993" xr:uid="{00000000-0004-0000-0200-0000C8070000}"/>
    <hyperlink ref="F1635" r:id="rId1994" xr:uid="{00000000-0004-0000-0200-0000C9070000}"/>
    <hyperlink ref="G1635" r:id="rId1995" xr:uid="{00000000-0004-0000-0200-0000CA070000}"/>
    <hyperlink ref="S1635" r:id="rId1996" xr:uid="{00000000-0004-0000-0200-0000CB070000}"/>
    <hyperlink ref="S1636" r:id="rId1997" xr:uid="{00000000-0004-0000-0200-0000CC070000}"/>
    <hyperlink ref="S1637" r:id="rId1998" xr:uid="{00000000-0004-0000-0200-0000CD070000}"/>
    <hyperlink ref="F1638" r:id="rId1999" xr:uid="{00000000-0004-0000-0200-0000CE070000}"/>
    <hyperlink ref="G1638" r:id="rId2000" xr:uid="{00000000-0004-0000-0200-0000CF070000}"/>
    <hyperlink ref="G1639" r:id="rId2001" xr:uid="{00000000-0004-0000-0200-0000D0070000}"/>
    <hyperlink ref="F1640" r:id="rId2002" xr:uid="{00000000-0004-0000-0200-0000D1070000}"/>
    <hyperlink ref="F1641" r:id="rId2003" xr:uid="{00000000-0004-0000-0200-0000D2070000}"/>
    <hyperlink ref="F1642" r:id="rId2004" xr:uid="{00000000-0004-0000-0200-0000D3070000}"/>
    <hyperlink ref="F1644" r:id="rId2005" xr:uid="{00000000-0004-0000-0200-0000D4070000}"/>
    <hyperlink ref="G1644" r:id="rId2006" xr:uid="{00000000-0004-0000-0200-0000D5070000}"/>
    <hyperlink ref="S1645" r:id="rId2007" xr:uid="{00000000-0004-0000-0200-0000D6070000}"/>
    <hyperlink ref="F1646" r:id="rId2008" xr:uid="{00000000-0004-0000-0200-0000D7070000}"/>
    <hyperlink ref="S1646" r:id="rId2009" xr:uid="{00000000-0004-0000-0200-0000D8070000}"/>
    <hyperlink ref="F1647" r:id="rId2010" xr:uid="{00000000-0004-0000-0200-0000D9070000}"/>
    <hyperlink ref="G1647" r:id="rId2011" xr:uid="{00000000-0004-0000-0200-0000DA070000}"/>
    <hyperlink ref="S1647" r:id="rId2012" xr:uid="{00000000-0004-0000-0200-0000DB070000}"/>
    <hyperlink ref="G1648" r:id="rId2013" xr:uid="{00000000-0004-0000-0200-0000DC070000}"/>
    <hyperlink ref="S1648" r:id="rId2014" xr:uid="{00000000-0004-0000-0200-0000DD070000}"/>
    <hyperlink ref="G1649" r:id="rId2015" xr:uid="{00000000-0004-0000-0200-0000DE070000}"/>
    <hyperlink ref="S1649" r:id="rId2016" xr:uid="{00000000-0004-0000-0200-0000DF070000}"/>
    <hyperlink ref="F1650" r:id="rId2017" xr:uid="{00000000-0004-0000-0200-0000E0070000}"/>
    <hyperlink ref="F1651" r:id="rId2018" xr:uid="{00000000-0004-0000-0200-0000E1070000}"/>
    <hyperlink ref="G1651" r:id="rId2019" xr:uid="{00000000-0004-0000-0200-0000E2070000}"/>
    <hyperlink ref="G1652" r:id="rId2020" xr:uid="{00000000-0004-0000-0200-0000E3070000}"/>
    <hyperlink ref="F1653" r:id="rId2021" xr:uid="{00000000-0004-0000-0200-0000E4070000}"/>
    <hyperlink ref="G1654" r:id="rId2022" xr:uid="{00000000-0004-0000-0200-0000E5070000}"/>
    <hyperlink ref="F1655" r:id="rId2023" xr:uid="{00000000-0004-0000-0200-0000E6070000}"/>
    <hyperlink ref="F1656" r:id="rId2024" xr:uid="{00000000-0004-0000-0200-0000E7070000}"/>
    <hyperlink ref="F1657" r:id="rId2025" xr:uid="{00000000-0004-0000-0200-0000E8070000}"/>
    <hyperlink ref="S1657" r:id="rId2026" xr:uid="{00000000-0004-0000-0200-0000E9070000}"/>
    <hyperlink ref="S1658" r:id="rId2027" xr:uid="{00000000-0004-0000-0200-0000EA070000}"/>
    <hyperlink ref="S1659" r:id="rId2028" xr:uid="{00000000-0004-0000-0200-0000EB070000}"/>
    <hyperlink ref="G1661" r:id="rId2029" xr:uid="{00000000-0004-0000-0200-0000EC070000}"/>
    <hyperlink ref="S1661" r:id="rId2030" xr:uid="{00000000-0004-0000-0200-0000ED070000}"/>
    <hyperlink ref="G1662" r:id="rId2031" xr:uid="{00000000-0004-0000-0200-0000EE070000}"/>
    <hyperlink ref="G1663" r:id="rId2032" xr:uid="{00000000-0004-0000-0200-0000EF070000}"/>
    <hyperlink ref="F1664" r:id="rId2033" location=".W_WLiipz1VM.facebook" xr:uid="{00000000-0004-0000-0200-0000F0070000}"/>
    <hyperlink ref="F1665" r:id="rId2034" xr:uid="{00000000-0004-0000-0200-0000F1070000}"/>
    <hyperlink ref="F1666" r:id="rId2035" xr:uid="{00000000-0004-0000-0200-0000F2070000}"/>
    <hyperlink ref="G1666" r:id="rId2036" xr:uid="{00000000-0004-0000-0200-0000F3070000}"/>
    <hyperlink ref="S1666" r:id="rId2037" xr:uid="{00000000-0004-0000-0200-0000F4070000}"/>
    <hyperlink ref="F1667" r:id="rId2038" xr:uid="{00000000-0004-0000-0200-0000F5070000}"/>
    <hyperlink ref="G1667" r:id="rId2039" xr:uid="{00000000-0004-0000-0200-0000F6070000}"/>
    <hyperlink ref="S1667" r:id="rId2040" xr:uid="{00000000-0004-0000-0200-0000F7070000}"/>
    <hyperlink ref="F1668" r:id="rId2041" xr:uid="{00000000-0004-0000-0200-0000F8070000}"/>
    <hyperlink ref="F1669" r:id="rId2042" xr:uid="{00000000-0004-0000-0200-0000F9070000}"/>
    <hyperlink ref="G1669" r:id="rId2043" xr:uid="{00000000-0004-0000-0200-0000FA070000}"/>
    <hyperlink ref="S1669" r:id="rId2044" xr:uid="{00000000-0004-0000-0200-0000FB070000}"/>
    <hyperlink ref="F1672" r:id="rId2045" xr:uid="{00000000-0004-0000-0200-0000FC070000}"/>
    <hyperlink ref="R1672" r:id="rId2046" xr:uid="{00000000-0004-0000-0200-0000FD070000}"/>
    <hyperlink ref="S1672" r:id="rId2047" xr:uid="{00000000-0004-0000-0200-0000FE070000}"/>
    <hyperlink ref="S1674" r:id="rId2048" xr:uid="{00000000-0004-0000-0200-0000FF070000}"/>
    <hyperlink ref="G1675" r:id="rId2049" xr:uid="{00000000-0004-0000-0200-000000080000}"/>
    <hyperlink ref="G1677" r:id="rId2050" xr:uid="{00000000-0004-0000-0200-000001080000}"/>
    <hyperlink ref="F1678" r:id="rId2051" xr:uid="{00000000-0004-0000-0200-000002080000}"/>
    <hyperlink ref="S1679" r:id="rId2052" xr:uid="{00000000-0004-0000-0200-000003080000}"/>
    <hyperlink ref="S1682" r:id="rId2053" xr:uid="{00000000-0004-0000-0200-000004080000}"/>
    <hyperlink ref="G1684" r:id="rId2054" xr:uid="{00000000-0004-0000-0200-000005080000}"/>
    <hyperlink ref="S1684" r:id="rId2055" xr:uid="{00000000-0004-0000-0200-000006080000}"/>
    <hyperlink ref="S1685" r:id="rId2056" xr:uid="{00000000-0004-0000-0200-000007080000}"/>
    <hyperlink ref="F1686" r:id="rId2057" xr:uid="{00000000-0004-0000-0200-000008080000}"/>
    <hyperlink ref="F1690" r:id="rId2058" xr:uid="{00000000-0004-0000-0200-000009080000}"/>
    <hyperlink ref="S1690" r:id="rId2059" xr:uid="{00000000-0004-0000-0200-00000A080000}"/>
    <hyperlink ref="G1692" r:id="rId2060" xr:uid="{00000000-0004-0000-0200-00000B080000}"/>
    <hyperlink ref="G1693" r:id="rId2061" xr:uid="{00000000-0004-0000-0200-00000C080000}"/>
    <hyperlink ref="F1695" r:id="rId2062" xr:uid="{00000000-0004-0000-0200-00000D080000}"/>
    <hyperlink ref="G1699" r:id="rId2063" xr:uid="{00000000-0004-0000-0200-00000E080000}"/>
    <hyperlink ref="F1701" r:id="rId2064" xr:uid="{00000000-0004-0000-0200-00000F080000}"/>
    <hyperlink ref="S1703" r:id="rId2065" xr:uid="{00000000-0004-0000-0200-000010080000}"/>
    <hyperlink ref="F1705" r:id="rId2066" xr:uid="{00000000-0004-0000-0200-000011080000}"/>
    <hyperlink ref="F1707" r:id="rId2067" xr:uid="{00000000-0004-0000-0200-000012080000}"/>
    <hyperlink ref="S1707" r:id="rId2068" xr:uid="{00000000-0004-0000-0200-000013080000}"/>
    <hyperlink ref="G1709" r:id="rId2069" xr:uid="{00000000-0004-0000-0200-000014080000}"/>
    <hyperlink ref="S1709" r:id="rId2070" xr:uid="{00000000-0004-0000-0200-000015080000}"/>
    <hyperlink ref="F1710" r:id="rId2071" xr:uid="{00000000-0004-0000-0200-000016080000}"/>
    <hyperlink ref="F1711" r:id="rId2072" xr:uid="{00000000-0004-0000-0200-000017080000}"/>
    <hyperlink ref="G1711" r:id="rId2073" xr:uid="{00000000-0004-0000-0200-000018080000}"/>
    <hyperlink ref="S1711" r:id="rId2074" xr:uid="{00000000-0004-0000-0200-000019080000}"/>
    <hyperlink ref="F1712" r:id="rId2075" xr:uid="{00000000-0004-0000-0200-00001A080000}"/>
    <hyperlink ref="F1713" r:id="rId2076" xr:uid="{00000000-0004-0000-0200-00001B080000}"/>
    <hyperlink ref="F1714" r:id="rId2077" xr:uid="{00000000-0004-0000-0200-00001C080000}"/>
    <hyperlink ref="G1714" r:id="rId2078" xr:uid="{00000000-0004-0000-0200-00001D080000}"/>
    <hyperlink ref="S1714" r:id="rId2079" xr:uid="{00000000-0004-0000-0200-00001E080000}"/>
    <hyperlink ref="F1715" r:id="rId2080" xr:uid="{00000000-0004-0000-0200-00001F080000}"/>
    <hyperlink ref="S1715" r:id="rId2081" xr:uid="{00000000-0004-0000-0200-000020080000}"/>
    <hyperlink ref="F1716" r:id="rId2082" xr:uid="{00000000-0004-0000-0200-000021080000}"/>
    <hyperlink ref="S1716" r:id="rId2083" xr:uid="{00000000-0004-0000-0200-000022080000}"/>
    <hyperlink ref="F1718" r:id="rId2084" xr:uid="{00000000-0004-0000-0200-000023080000}"/>
    <hyperlink ref="F1719" r:id="rId2085" xr:uid="{00000000-0004-0000-0200-000024080000}"/>
    <hyperlink ref="G1719" r:id="rId2086" xr:uid="{00000000-0004-0000-0200-000025080000}"/>
    <hyperlink ref="S1719" r:id="rId2087" xr:uid="{00000000-0004-0000-0200-000026080000}"/>
    <hyperlink ref="G1720" r:id="rId2088" xr:uid="{00000000-0004-0000-0200-000027080000}"/>
    <hyperlink ref="G1721" r:id="rId2089" xr:uid="{00000000-0004-0000-0200-000028080000}"/>
    <hyperlink ref="F1723" r:id="rId2090" xr:uid="{00000000-0004-0000-0200-000029080000}"/>
    <hyperlink ref="G1724" r:id="rId2091" xr:uid="{00000000-0004-0000-0200-00002A080000}"/>
    <hyperlink ref="F1726" r:id="rId2092" xr:uid="{00000000-0004-0000-0200-00002B080000}"/>
    <hyperlink ref="G1728" r:id="rId2093" xr:uid="{00000000-0004-0000-0200-00002C080000}"/>
    <hyperlink ref="S1728" r:id="rId2094" xr:uid="{00000000-0004-0000-0200-00002D080000}"/>
    <hyperlink ref="F1730" r:id="rId2095" xr:uid="{00000000-0004-0000-0200-00002E080000}"/>
    <hyperlink ref="F1731" r:id="rId2096" xr:uid="{00000000-0004-0000-0200-00002F080000}"/>
    <hyperlink ref="G1731" r:id="rId2097" xr:uid="{00000000-0004-0000-0200-000030080000}"/>
    <hyperlink ref="S1731" r:id="rId2098" xr:uid="{00000000-0004-0000-0200-000031080000}"/>
    <hyperlink ref="F1733" r:id="rId2099" xr:uid="{00000000-0004-0000-0200-000032080000}"/>
    <hyperlink ref="G1733" r:id="rId2100" xr:uid="{00000000-0004-0000-0200-000033080000}"/>
    <hyperlink ref="S1733" r:id="rId2101" xr:uid="{00000000-0004-0000-0200-000034080000}"/>
    <hyperlink ref="F1734" r:id="rId2102" xr:uid="{00000000-0004-0000-0200-000035080000}"/>
    <hyperlink ref="S1735" r:id="rId2103" xr:uid="{00000000-0004-0000-0200-000036080000}"/>
    <hyperlink ref="S1736" r:id="rId2104" xr:uid="{00000000-0004-0000-0200-000037080000}"/>
    <hyperlink ref="S1737" r:id="rId2105" xr:uid="{00000000-0004-0000-0200-000038080000}"/>
    <hyperlink ref="S1738" r:id="rId2106" xr:uid="{00000000-0004-0000-0200-000039080000}"/>
    <hyperlink ref="F1739" r:id="rId2107" xr:uid="{00000000-0004-0000-0200-00003A080000}"/>
    <hyperlink ref="S1739" r:id="rId2108" xr:uid="{00000000-0004-0000-0200-00003B080000}"/>
    <hyperlink ref="C1740" r:id="rId2109" xr:uid="{00000000-0004-0000-0200-00003C080000}"/>
    <hyperlink ref="F1740" r:id="rId2110" xr:uid="{00000000-0004-0000-0200-00003D080000}"/>
    <hyperlink ref="G1740" r:id="rId2111" xr:uid="{00000000-0004-0000-0200-00003E080000}"/>
    <hyperlink ref="S1740" r:id="rId2112" xr:uid="{00000000-0004-0000-0200-00003F080000}"/>
    <hyperlink ref="C1741" r:id="rId2113" xr:uid="{00000000-0004-0000-0200-000040080000}"/>
    <hyperlink ref="F1741" r:id="rId2114" xr:uid="{00000000-0004-0000-0200-000041080000}"/>
    <hyperlink ref="G1741" r:id="rId2115" xr:uid="{00000000-0004-0000-0200-000042080000}"/>
    <hyperlink ref="S1741" r:id="rId2116" xr:uid="{00000000-0004-0000-0200-000043080000}"/>
    <hyperlink ref="F1743" r:id="rId2117" xr:uid="{00000000-0004-0000-0200-000044080000}"/>
    <hyperlink ref="S1744" r:id="rId2118" xr:uid="{00000000-0004-0000-0200-000045080000}"/>
    <hyperlink ref="F1745" r:id="rId2119" xr:uid="{00000000-0004-0000-0200-000046080000}"/>
    <hyperlink ref="F1746" r:id="rId2120" xr:uid="{00000000-0004-0000-0200-000047080000}"/>
    <hyperlink ref="S1746" r:id="rId2121" xr:uid="{00000000-0004-0000-0200-000048080000}"/>
    <hyperlink ref="S1747" r:id="rId2122" xr:uid="{00000000-0004-0000-0200-000049080000}"/>
    <hyperlink ref="F1748" r:id="rId2123" xr:uid="{00000000-0004-0000-0200-00004A080000}"/>
    <hyperlink ref="G1749" r:id="rId2124" xr:uid="{00000000-0004-0000-0200-00004B080000}"/>
    <hyperlink ref="F1750" r:id="rId2125" xr:uid="{00000000-0004-0000-0200-00004C080000}"/>
    <hyperlink ref="G1750" r:id="rId2126" xr:uid="{00000000-0004-0000-0200-00004D080000}"/>
    <hyperlink ref="G1752" r:id="rId2127" xr:uid="{00000000-0004-0000-0200-00004E080000}"/>
    <hyperlink ref="F1753" r:id="rId2128" xr:uid="{00000000-0004-0000-0200-00004F080000}"/>
    <hyperlink ref="F1754" r:id="rId2129" xr:uid="{00000000-0004-0000-0200-000050080000}"/>
    <hyperlink ref="S1755" r:id="rId2130" xr:uid="{00000000-0004-0000-0200-000051080000}"/>
    <hyperlink ref="G1756" r:id="rId2131" xr:uid="{00000000-0004-0000-0200-000052080000}"/>
    <hyperlink ref="S1756" r:id="rId2132" xr:uid="{00000000-0004-0000-0200-000053080000}"/>
    <hyperlink ref="F1758" r:id="rId2133" xr:uid="{00000000-0004-0000-0200-000054080000}"/>
    <hyperlink ref="F1759" r:id="rId2134" location=".W_VaD36Em--.facebook" xr:uid="{00000000-0004-0000-0200-000055080000}"/>
    <hyperlink ref="F1760" r:id="rId2135" xr:uid="{00000000-0004-0000-0200-000056080000}"/>
    <hyperlink ref="F1761" r:id="rId2136" xr:uid="{00000000-0004-0000-0200-000057080000}"/>
    <hyperlink ref="F1762" r:id="rId2137" xr:uid="{00000000-0004-0000-0200-000058080000}"/>
    <hyperlink ref="G1762" r:id="rId2138" xr:uid="{00000000-0004-0000-0200-000059080000}"/>
    <hyperlink ref="S1762" r:id="rId2139" xr:uid="{00000000-0004-0000-0200-00005A080000}"/>
    <hyperlink ref="F1763" r:id="rId2140" xr:uid="{00000000-0004-0000-0200-00005B080000}"/>
    <hyperlink ref="F1764" r:id="rId2141" xr:uid="{00000000-0004-0000-0200-00005C080000}"/>
    <hyperlink ref="S1765" r:id="rId2142" xr:uid="{00000000-0004-0000-0200-00005D080000}"/>
    <hyperlink ref="S1766" r:id="rId2143" xr:uid="{00000000-0004-0000-0200-00005E080000}"/>
    <hyperlink ref="G1767" r:id="rId2144" xr:uid="{00000000-0004-0000-0200-00005F080000}"/>
    <hyperlink ref="S1767" r:id="rId2145" xr:uid="{00000000-0004-0000-0200-000060080000}"/>
    <hyperlink ref="F1768" r:id="rId2146" xr:uid="{00000000-0004-0000-0200-000061080000}"/>
    <hyperlink ref="G1768" r:id="rId2147" xr:uid="{00000000-0004-0000-0200-000062080000}"/>
    <hyperlink ref="S1768" r:id="rId2148" xr:uid="{00000000-0004-0000-0200-000063080000}"/>
    <hyperlink ref="F1769" r:id="rId2149" xr:uid="{00000000-0004-0000-0200-000064080000}"/>
    <hyperlink ref="S1769" r:id="rId2150" xr:uid="{00000000-0004-0000-0200-000065080000}"/>
    <hyperlink ref="F1770" r:id="rId2151" xr:uid="{00000000-0004-0000-0200-000066080000}"/>
    <hyperlink ref="S1770" r:id="rId2152" xr:uid="{00000000-0004-0000-0200-000067080000}"/>
    <hyperlink ref="F1771" r:id="rId2153" xr:uid="{00000000-0004-0000-0200-000068080000}"/>
    <hyperlink ref="F1772" r:id="rId2154" xr:uid="{00000000-0004-0000-0200-000069080000}"/>
    <hyperlink ref="F1773" r:id="rId2155" xr:uid="{00000000-0004-0000-0200-00006A080000}"/>
    <hyperlink ref="F1774" r:id="rId2156" xr:uid="{00000000-0004-0000-0200-00006B080000}"/>
    <hyperlink ref="F1775" r:id="rId2157" xr:uid="{00000000-0004-0000-0200-00006C080000}"/>
    <hyperlink ref="F1776" r:id="rId2158" location=".W_VRzu7dNoe.twitter" xr:uid="{00000000-0004-0000-0200-00006D080000}"/>
    <hyperlink ref="F1777" r:id="rId2159" xr:uid="{00000000-0004-0000-0200-00006E080000}"/>
    <hyperlink ref="S1777" r:id="rId2160" xr:uid="{00000000-0004-0000-0200-00006F080000}"/>
    <hyperlink ref="F1778" r:id="rId2161" xr:uid="{00000000-0004-0000-0200-000070080000}"/>
    <hyperlink ref="S1778" r:id="rId2162" xr:uid="{00000000-0004-0000-0200-000071080000}"/>
    <hyperlink ref="F1779" r:id="rId2163" xr:uid="{00000000-0004-0000-0200-000072080000}"/>
    <hyperlink ref="F1780" r:id="rId2164" xr:uid="{00000000-0004-0000-0200-000073080000}"/>
    <hyperlink ref="G1780" r:id="rId2165" xr:uid="{00000000-0004-0000-0200-000074080000}"/>
    <hyperlink ref="S1780" r:id="rId2166" xr:uid="{00000000-0004-0000-0200-000075080000}"/>
    <hyperlink ref="G1781" r:id="rId2167" xr:uid="{00000000-0004-0000-0200-000076080000}"/>
    <hyperlink ref="F1782" r:id="rId2168" xr:uid="{00000000-0004-0000-0200-000077080000}"/>
    <hyperlink ref="S1782" r:id="rId2169" xr:uid="{00000000-0004-0000-0200-000078080000}"/>
    <hyperlink ref="F1783" r:id="rId2170" xr:uid="{00000000-0004-0000-0200-000079080000}"/>
    <hyperlink ref="S1783" r:id="rId2171" xr:uid="{00000000-0004-0000-0200-00007A080000}"/>
    <hyperlink ref="F1784" r:id="rId2172" xr:uid="{00000000-0004-0000-0200-00007B080000}"/>
    <hyperlink ref="G1785" r:id="rId2173" xr:uid="{00000000-0004-0000-0200-00007C080000}"/>
    <hyperlink ref="G1786" r:id="rId2174" xr:uid="{00000000-0004-0000-0200-00007D080000}"/>
    <hyperlink ref="S1786" r:id="rId2175" xr:uid="{00000000-0004-0000-0200-00007E080000}"/>
    <hyperlink ref="G1787" r:id="rId2176" xr:uid="{00000000-0004-0000-0200-00007F080000}"/>
    <hyperlink ref="F1788" r:id="rId2177" xr:uid="{00000000-0004-0000-0200-000080080000}"/>
    <hyperlink ref="F1789" r:id="rId2178" xr:uid="{00000000-0004-0000-0200-000081080000}"/>
    <hyperlink ref="S1789" r:id="rId2179" xr:uid="{00000000-0004-0000-0200-000082080000}"/>
    <hyperlink ref="F1790" r:id="rId2180" xr:uid="{00000000-0004-0000-0200-000083080000}"/>
    <hyperlink ref="G1790" r:id="rId2181" xr:uid="{00000000-0004-0000-0200-000084080000}"/>
    <hyperlink ref="S1790" r:id="rId2182" xr:uid="{00000000-0004-0000-0200-000085080000}"/>
    <hyperlink ref="F1791" r:id="rId2183" xr:uid="{00000000-0004-0000-0200-000086080000}"/>
    <hyperlink ref="F1792" r:id="rId2184" xr:uid="{00000000-0004-0000-0200-000087080000}"/>
    <hyperlink ref="S1792" r:id="rId2185" xr:uid="{00000000-0004-0000-0200-000088080000}"/>
    <hyperlink ref="F1794" r:id="rId2186" xr:uid="{00000000-0004-0000-0200-000089080000}"/>
    <hyperlink ref="F1795" r:id="rId2187" xr:uid="{00000000-0004-0000-0200-00008A080000}"/>
    <hyperlink ref="F1796" r:id="rId2188" xr:uid="{00000000-0004-0000-0200-00008B080000}"/>
    <hyperlink ref="S1798" r:id="rId2189" xr:uid="{00000000-0004-0000-0200-00008C080000}"/>
    <hyperlink ref="F1799" r:id="rId2190" xr:uid="{00000000-0004-0000-0200-00008D080000}"/>
    <hyperlink ref="S1799" r:id="rId2191" xr:uid="{00000000-0004-0000-0200-00008E080000}"/>
    <hyperlink ref="S1800" r:id="rId2192" xr:uid="{00000000-0004-0000-0200-00008F080000}"/>
    <hyperlink ref="G1801" r:id="rId2193" xr:uid="{00000000-0004-0000-0200-000090080000}"/>
    <hyperlink ref="F1802" r:id="rId2194" xr:uid="{00000000-0004-0000-0200-000091080000}"/>
    <hyperlink ref="G1802" r:id="rId2195" xr:uid="{00000000-0004-0000-0200-000092080000}"/>
    <hyperlink ref="F1803" r:id="rId2196" location="pk_campaign=MASwpn&amp;pk_kwd=Aviso+de+la+Comisi%C3%B3n+Europea" xr:uid="{00000000-0004-0000-0200-000093080000}"/>
    <hyperlink ref="G1804" r:id="rId2197" xr:uid="{00000000-0004-0000-0200-000094080000}"/>
    <hyperlink ref="F1806" r:id="rId2198" xr:uid="{00000000-0004-0000-0200-000095080000}"/>
    <hyperlink ref="F1807" r:id="rId2199" xr:uid="{00000000-0004-0000-0200-000096080000}"/>
    <hyperlink ref="G1808" r:id="rId2200" xr:uid="{00000000-0004-0000-0200-000097080000}"/>
    <hyperlink ref="S1808" r:id="rId2201" xr:uid="{00000000-0004-0000-0200-000098080000}"/>
    <hyperlink ref="G1809" r:id="rId2202" xr:uid="{00000000-0004-0000-0200-000099080000}"/>
    <hyperlink ref="G1811" r:id="rId2203" xr:uid="{00000000-0004-0000-0200-00009A080000}"/>
    <hyperlink ref="S1811" r:id="rId2204" xr:uid="{00000000-0004-0000-0200-00009B080000}"/>
    <hyperlink ref="G1812" r:id="rId2205" xr:uid="{00000000-0004-0000-0200-00009C080000}"/>
    <hyperlink ref="F1813" r:id="rId2206" xr:uid="{00000000-0004-0000-0200-00009D080000}"/>
    <hyperlink ref="G1814" r:id="rId2207" xr:uid="{00000000-0004-0000-0200-00009E080000}"/>
    <hyperlink ref="S1814" r:id="rId2208" xr:uid="{00000000-0004-0000-0200-00009F080000}"/>
    <hyperlink ref="F1816" r:id="rId2209" xr:uid="{00000000-0004-0000-0200-0000A0080000}"/>
    <hyperlink ref="G1817" r:id="rId2210" xr:uid="{00000000-0004-0000-0200-0000A1080000}"/>
    <hyperlink ref="F1818" r:id="rId2211" xr:uid="{00000000-0004-0000-0200-0000A2080000}"/>
    <hyperlink ref="S1820" r:id="rId2212" xr:uid="{00000000-0004-0000-0200-0000A3080000}"/>
    <hyperlink ref="F1823" r:id="rId2213" xr:uid="{00000000-0004-0000-0200-0000A4080000}"/>
    <hyperlink ref="S1823" r:id="rId2214" xr:uid="{00000000-0004-0000-0200-0000A5080000}"/>
    <hyperlink ref="G1824" r:id="rId2215" xr:uid="{00000000-0004-0000-0200-0000A6080000}"/>
    <hyperlink ref="S1824" r:id="rId2216" xr:uid="{00000000-0004-0000-0200-0000A7080000}"/>
    <hyperlink ref="F1825" r:id="rId2217" xr:uid="{00000000-0004-0000-0200-0000A8080000}"/>
    <hyperlink ref="F1826" r:id="rId2218" xr:uid="{00000000-0004-0000-0200-0000A9080000}"/>
    <hyperlink ref="F1827" r:id="rId2219" xr:uid="{00000000-0004-0000-0200-0000AA080000}"/>
    <hyperlink ref="F1828" r:id="rId2220" xr:uid="{00000000-0004-0000-0200-0000AB080000}"/>
    <hyperlink ref="G1829" r:id="rId2221" xr:uid="{00000000-0004-0000-0200-0000AC080000}"/>
    <hyperlink ref="F1830" r:id="rId2222" xr:uid="{00000000-0004-0000-0200-0000AD080000}"/>
    <hyperlink ref="G1830" r:id="rId2223" xr:uid="{00000000-0004-0000-0200-0000AE080000}"/>
    <hyperlink ref="S1830" r:id="rId2224" xr:uid="{00000000-0004-0000-0200-0000AF080000}"/>
    <hyperlink ref="F1831" r:id="rId2225" xr:uid="{00000000-0004-0000-0200-0000B0080000}"/>
    <hyperlink ref="S1831" r:id="rId2226" xr:uid="{00000000-0004-0000-0200-0000B1080000}"/>
    <hyperlink ref="G1832" r:id="rId2227" xr:uid="{00000000-0004-0000-0200-0000B2080000}"/>
    <hyperlink ref="S1833" r:id="rId2228" xr:uid="{00000000-0004-0000-0200-0000B3080000}"/>
    <hyperlink ref="S1834" r:id="rId2229" xr:uid="{00000000-0004-0000-0200-0000B4080000}"/>
    <hyperlink ref="S1835" r:id="rId2230" xr:uid="{00000000-0004-0000-0200-0000B5080000}"/>
    <hyperlink ref="F1837" r:id="rId2231" xr:uid="{00000000-0004-0000-0200-0000B6080000}"/>
    <hyperlink ref="G1837" r:id="rId2232" xr:uid="{00000000-0004-0000-0200-0000B7080000}"/>
    <hyperlink ref="S1837" r:id="rId2233" xr:uid="{00000000-0004-0000-0200-0000B8080000}"/>
    <hyperlink ref="F1838" r:id="rId2234" xr:uid="{00000000-0004-0000-0200-0000B9080000}"/>
    <hyperlink ref="F1839" r:id="rId2235" xr:uid="{00000000-0004-0000-0200-0000BA080000}"/>
    <hyperlink ref="S1839" r:id="rId2236" xr:uid="{00000000-0004-0000-0200-0000BB080000}"/>
    <hyperlink ref="F1840" r:id="rId2237" xr:uid="{00000000-0004-0000-0200-0000BC080000}"/>
    <hyperlink ref="S1840" r:id="rId2238" xr:uid="{00000000-0004-0000-0200-0000BD080000}"/>
    <hyperlink ref="G1842" r:id="rId2239" xr:uid="{00000000-0004-0000-0200-0000BE080000}"/>
    <hyperlink ref="F1844" r:id="rId2240" xr:uid="{00000000-0004-0000-0200-0000BF080000}"/>
    <hyperlink ref="G1844" r:id="rId2241" xr:uid="{00000000-0004-0000-0200-0000C0080000}"/>
    <hyperlink ref="S1844" r:id="rId2242" xr:uid="{00000000-0004-0000-0200-0000C1080000}"/>
    <hyperlink ref="F1845" r:id="rId2243" xr:uid="{00000000-0004-0000-0200-0000C2080000}"/>
    <hyperlink ref="G1845" r:id="rId2244" xr:uid="{00000000-0004-0000-0200-0000C3080000}"/>
    <hyperlink ref="S1845" r:id="rId2245" xr:uid="{00000000-0004-0000-0200-0000C4080000}"/>
    <hyperlink ref="G1846" r:id="rId2246" xr:uid="{00000000-0004-0000-0200-0000C5080000}"/>
    <hyperlink ref="G1848" r:id="rId2247" xr:uid="{00000000-0004-0000-0200-0000C6080000}"/>
    <hyperlink ref="S1848" r:id="rId2248" xr:uid="{00000000-0004-0000-0200-0000C7080000}"/>
    <hyperlink ref="F1849" r:id="rId2249" xr:uid="{00000000-0004-0000-0200-0000C8080000}"/>
    <hyperlink ref="F1850" r:id="rId2250" xr:uid="{00000000-0004-0000-0200-0000C9080000}"/>
    <hyperlink ref="F1851" r:id="rId2251" xr:uid="{00000000-0004-0000-0200-0000CA080000}"/>
    <hyperlink ref="F1852" r:id="rId2252" xr:uid="{00000000-0004-0000-0200-0000CB080000}"/>
    <hyperlink ref="R1852" r:id="rId2253" xr:uid="{00000000-0004-0000-0200-0000CC080000}"/>
    <hyperlink ref="S1852" r:id="rId2254" xr:uid="{00000000-0004-0000-0200-0000CD080000}"/>
    <hyperlink ref="F1853" r:id="rId2255" xr:uid="{00000000-0004-0000-0200-0000CE080000}"/>
    <hyperlink ref="S1853" r:id="rId2256" xr:uid="{00000000-0004-0000-0200-0000CF080000}"/>
    <hyperlink ref="F1854" r:id="rId2257" xr:uid="{00000000-0004-0000-0200-0000D0080000}"/>
    <hyperlink ref="S1854" r:id="rId2258" xr:uid="{00000000-0004-0000-0200-0000D1080000}"/>
    <hyperlink ref="F1855" r:id="rId2259" xr:uid="{00000000-0004-0000-0200-0000D2080000}"/>
    <hyperlink ref="S1855" r:id="rId2260" xr:uid="{00000000-0004-0000-0200-0000D3080000}"/>
    <hyperlink ref="S1858" r:id="rId2261" xr:uid="{00000000-0004-0000-0200-0000D4080000}"/>
    <hyperlink ref="F1859" r:id="rId2262" xr:uid="{00000000-0004-0000-0200-0000D5080000}"/>
    <hyperlink ref="S1859" r:id="rId2263" xr:uid="{00000000-0004-0000-0200-0000D6080000}"/>
    <hyperlink ref="G1860" r:id="rId2264" xr:uid="{00000000-0004-0000-0200-0000D7080000}"/>
    <hyperlink ref="G1861" r:id="rId2265" xr:uid="{00000000-0004-0000-0200-0000D8080000}"/>
    <hyperlink ref="F1862" r:id="rId2266" xr:uid="{00000000-0004-0000-0200-0000D9080000}"/>
    <hyperlink ref="S1863" r:id="rId2267" xr:uid="{00000000-0004-0000-0200-0000DA080000}"/>
    <hyperlink ref="F1864" r:id="rId2268" xr:uid="{00000000-0004-0000-0200-0000DB080000}"/>
    <hyperlink ref="G1864" r:id="rId2269" xr:uid="{00000000-0004-0000-0200-0000DC080000}"/>
    <hyperlink ref="G1865" r:id="rId2270" xr:uid="{00000000-0004-0000-0200-0000DD080000}"/>
    <hyperlink ref="F1866" r:id="rId2271" xr:uid="{00000000-0004-0000-0200-0000DE080000}"/>
    <hyperlink ref="G1866" r:id="rId2272" xr:uid="{00000000-0004-0000-0200-0000DF080000}"/>
    <hyperlink ref="S1866" r:id="rId2273" xr:uid="{00000000-0004-0000-0200-0000E0080000}"/>
    <hyperlink ref="F1867" r:id="rId2274" xr:uid="{00000000-0004-0000-0200-0000E1080000}"/>
    <hyperlink ref="G1867" r:id="rId2275" xr:uid="{00000000-0004-0000-0200-0000E2080000}"/>
    <hyperlink ref="F1868" r:id="rId2276" xr:uid="{00000000-0004-0000-0200-0000E3080000}"/>
    <hyperlink ref="G1869" r:id="rId2277" xr:uid="{00000000-0004-0000-0200-0000E4080000}"/>
    <hyperlink ref="S1869" r:id="rId2278" xr:uid="{00000000-0004-0000-0200-0000E5080000}"/>
    <hyperlink ref="F1870" r:id="rId2279" location="click=https://t.co/pGmOkIvaMN" xr:uid="{00000000-0004-0000-0200-0000E6080000}"/>
    <hyperlink ref="F1871" r:id="rId2280" xr:uid="{00000000-0004-0000-0200-0000E7080000}"/>
    <hyperlink ref="S1871" r:id="rId2281" xr:uid="{00000000-0004-0000-0200-0000E8080000}"/>
    <hyperlink ref="G1872" r:id="rId2282" xr:uid="{00000000-0004-0000-0200-0000E9080000}"/>
    <hyperlink ref="F1875" r:id="rId2283" xr:uid="{00000000-0004-0000-0200-0000EA080000}"/>
    <hyperlink ref="G1875" r:id="rId2284" xr:uid="{00000000-0004-0000-0200-0000EB080000}"/>
    <hyperlink ref="S1875" r:id="rId2285" xr:uid="{00000000-0004-0000-0200-0000EC080000}"/>
    <hyperlink ref="G1877" r:id="rId2286" xr:uid="{00000000-0004-0000-0200-0000ED080000}"/>
    <hyperlink ref="S1877" r:id="rId2287" xr:uid="{00000000-0004-0000-0200-0000EE080000}"/>
    <hyperlink ref="G1878" r:id="rId2288" xr:uid="{00000000-0004-0000-0200-0000EF080000}"/>
    <hyperlink ref="S1878" r:id="rId2289" xr:uid="{00000000-0004-0000-0200-0000F0080000}"/>
    <hyperlink ref="F1879" r:id="rId2290" xr:uid="{00000000-0004-0000-0200-0000F1080000}"/>
    <hyperlink ref="G1879" r:id="rId2291" xr:uid="{00000000-0004-0000-0200-0000F2080000}"/>
    <hyperlink ref="S1879" r:id="rId2292" xr:uid="{00000000-0004-0000-0200-0000F3080000}"/>
    <hyperlink ref="F1880" r:id="rId2293" xr:uid="{00000000-0004-0000-0200-0000F4080000}"/>
    <hyperlink ref="S1880" r:id="rId2294" xr:uid="{00000000-0004-0000-0200-0000F5080000}"/>
    <hyperlink ref="G1882" r:id="rId2295" xr:uid="{00000000-0004-0000-0200-0000F6080000}"/>
    <hyperlink ref="S1882" r:id="rId2296" xr:uid="{00000000-0004-0000-0200-0000F7080000}"/>
    <hyperlink ref="G1883" r:id="rId2297" xr:uid="{00000000-0004-0000-0200-0000F8080000}"/>
    <hyperlink ref="S1883" r:id="rId2298" xr:uid="{00000000-0004-0000-0200-0000F9080000}"/>
    <hyperlink ref="F1884" r:id="rId2299" xr:uid="{00000000-0004-0000-0200-0000FA080000}"/>
    <hyperlink ref="S1884" r:id="rId2300" xr:uid="{00000000-0004-0000-0200-0000FB080000}"/>
    <hyperlink ref="F1885" r:id="rId2301" location=".W_BTDKgEUmF.facebook" xr:uid="{00000000-0004-0000-0200-0000FC080000}"/>
    <hyperlink ref="S1885" r:id="rId2302" xr:uid="{00000000-0004-0000-0200-0000FD080000}"/>
    <hyperlink ref="F1886" r:id="rId2303" xr:uid="{00000000-0004-0000-0200-0000FE080000}"/>
    <hyperlink ref="F1888" r:id="rId2304" xr:uid="{00000000-0004-0000-0200-0000FF080000}"/>
    <hyperlink ref="F1889" r:id="rId2305" xr:uid="{00000000-0004-0000-0200-000000090000}"/>
    <hyperlink ref="S1889" r:id="rId2306" xr:uid="{00000000-0004-0000-0200-000001090000}"/>
    <hyperlink ref="G1890" r:id="rId2307" xr:uid="{00000000-0004-0000-0200-000002090000}"/>
    <hyperlink ref="G1892" r:id="rId2308" xr:uid="{00000000-0004-0000-0200-000003090000}"/>
    <hyperlink ref="S1892" r:id="rId2309" xr:uid="{00000000-0004-0000-0200-000004090000}"/>
    <hyperlink ref="F1893" r:id="rId2310" xr:uid="{00000000-0004-0000-0200-000005090000}"/>
    <hyperlink ref="G1893" r:id="rId2311" xr:uid="{00000000-0004-0000-0200-000006090000}"/>
    <hyperlink ref="S1893" r:id="rId2312" xr:uid="{00000000-0004-0000-0200-000007090000}"/>
    <hyperlink ref="G1894" r:id="rId2313" xr:uid="{00000000-0004-0000-0200-000008090000}"/>
    <hyperlink ref="S1894" r:id="rId2314" xr:uid="{00000000-0004-0000-0200-000009090000}"/>
    <hyperlink ref="F1895" r:id="rId2315" xr:uid="{00000000-0004-0000-0200-00000A090000}"/>
    <hyperlink ref="F1896" r:id="rId2316" xr:uid="{00000000-0004-0000-0200-00000B090000}"/>
    <hyperlink ref="S1897" r:id="rId2317" xr:uid="{00000000-0004-0000-0200-00000C090000}"/>
    <hyperlink ref="F1899" r:id="rId2318" xr:uid="{00000000-0004-0000-0200-00000D090000}"/>
    <hyperlink ref="S1899" r:id="rId2319" xr:uid="{00000000-0004-0000-0200-00000E090000}"/>
    <hyperlink ref="F1900" r:id="rId2320" xr:uid="{00000000-0004-0000-0200-00000F090000}"/>
    <hyperlink ref="S1900" r:id="rId2321" xr:uid="{00000000-0004-0000-0200-000010090000}"/>
    <hyperlink ref="S1901" r:id="rId2322" xr:uid="{00000000-0004-0000-0200-000011090000}"/>
    <hyperlink ref="F1902" r:id="rId2323" xr:uid="{00000000-0004-0000-0200-000012090000}"/>
    <hyperlink ref="G1902" r:id="rId2324" xr:uid="{00000000-0004-0000-0200-000013090000}"/>
    <hyperlink ref="S1902" r:id="rId2325" xr:uid="{00000000-0004-0000-0200-000014090000}"/>
    <hyperlink ref="F1903" r:id="rId2326" xr:uid="{00000000-0004-0000-0200-000015090000}"/>
    <hyperlink ref="S1903" r:id="rId2327" xr:uid="{00000000-0004-0000-0200-000016090000}"/>
    <hyperlink ref="F1904" r:id="rId2328" xr:uid="{00000000-0004-0000-0200-000017090000}"/>
    <hyperlink ref="F1906" r:id="rId2329" xr:uid="{00000000-0004-0000-0200-000018090000}"/>
    <hyperlink ref="S1907" r:id="rId2330" xr:uid="{00000000-0004-0000-0200-000019090000}"/>
    <hyperlink ref="F1908" r:id="rId2331" xr:uid="{00000000-0004-0000-0200-00001A090000}"/>
    <hyperlink ref="F1910" r:id="rId2332" xr:uid="{00000000-0004-0000-0200-00001B090000}"/>
    <hyperlink ref="F1911" r:id="rId2333" xr:uid="{00000000-0004-0000-0200-00001C090000}"/>
    <hyperlink ref="F1912" r:id="rId2334" xr:uid="{00000000-0004-0000-0200-00001D090000}"/>
    <hyperlink ref="S1912" r:id="rId2335" xr:uid="{00000000-0004-0000-0200-00001E090000}"/>
    <hyperlink ref="F1913" r:id="rId2336" xr:uid="{00000000-0004-0000-0200-00001F090000}"/>
    <hyperlink ref="S1913" r:id="rId2337" xr:uid="{00000000-0004-0000-0200-000020090000}"/>
    <hyperlink ref="F1914" r:id="rId2338" xr:uid="{00000000-0004-0000-0200-000021090000}"/>
    <hyperlink ref="F1916" r:id="rId2339" location="SesiónDeControl" xr:uid="{00000000-0004-0000-0200-000022090000}"/>
    <hyperlink ref="G1916" r:id="rId2340" xr:uid="{00000000-0004-0000-0200-000023090000}"/>
    <hyperlink ref="F1917" r:id="rId2341" xr:uid="{00000000-0004-0000-0200-000024090000}"/>
    <hyperlink ref="F1918" r:id="rId2342" xr:uid="{00000000-0004-0000-0200-000025090000}"/>
    <hyperlink ref="F1919" r:id="rId2343" xr:uid="{00000000-0004-0000-0200-000026090000}"/>
    <hyperlink ref="F1920" r:id="rId2344" xr:uid="{00000000-0004-0000-0200-000027090000}"/>
    <hyperlink ref="G1921" r:id="rId2345" xr:uid="{00000000-0004-0000-0200-000028090000}"/>
    <hyperlink ref="F1922" r:id="rId2346" xr:uid="{00000000-0004-0000-0200-000029090000}"/>
    <hyperlink ref="F1924" r:id="rId2347" xr:uid="{00000000-0004-0000-0200-00002A090000}"/>
    <hyperlink ref="S1925" r:id="rId2348" xr:uid="{00000000-0004-0000-0200-00002B090000}"/>
    <hyperlink ref="F1926" r:id="rId2349" xr:uid="{00000000-0004-0000-0200-00002C090000}"/>
    <hyperlink ref="F1927" r:id="rId2350" xr:uid="{00000000-0004-0000-0200-00002D090000}"/>
    <hyperlink ref="S1927" r:id="rId2351" location="abelfranc/about" xr:uid="{00000000-0004-0000-0200-00002E090000}"/>
    <hyperlink ref="F1928" r:id="rId2352" xr:uid="{00000000-0004-0000-0200-00002F090000}"/>
    <hyperlink ref="R1928" r:id="rId2353" xr:uid="{00000000-0004-0000-0200-000030090000}"/>
    <hyperlink ref="S1928" r:id="rId2354" xr:uid="{00000000-0004-0000-0200-000031090000}"/>
    <hyperlink ref="F1929" r:id="rId2355" xr:uid="{00000000-0004-0000-0200-000032090000}"/>
    <hyperlink ref="S1929" r:id="rId2356" xr:uid="{00000000-0004-0000-0200-000033090000}"/>
    <hyperlink ref="G1930" r:id="rId2357" xr:uid="{00000000-0004-0000-0200-000034090000}"/>
    <hyperlink ref="S1930" r:id="rId2358" xr:uid="{00000000-0004-0000-0200-000035090000}"/>
    <hyperlink ref="F1931" r:id="rId2359" xr:uid="{00000000-0004-0000-0200-000036090000}"/>
    <hyperlink ref="G1931" r:id="rId2360" xr:uid="{00000000-0004-0000-0200-000037090000}"/>
    <hyperlink ref="S1931" r:id="rId2361" xr:uid="{00000000-0004-0000-0200-000038090000}"/>
    <hyperlink ref="G1932" r:id="rId2362" xr:uid="{00000000-0004-0000-0200-000039090000}"/>
    <hyperlink ref="F1933" r:id="rId2363" xr:uid="{00000000-0004-0000-0200-00003A090000}"/>
    <hyperlink ref="S1933" r:id="rId2364" xr:uid="{00000000-0004-0000-0200-00003B090000}"/>
    <hyperlink ref="F1934" r:id="rId2365" xr:uid="{00000000-0004-0000-0200-00003C090000}"/>
    <hyperlink ref="S1934" r:id="rId2366" xr:uid="{00000000-0004-0000-0200-00003D090000}"/>
    <hyperlink ref="F1935" r:id="rId2367" xr:uid="{00000000-0004-0000-0200-00003E090000}"/>
    <hyperlink ref="G1936" r:id="rId2368" xr:uid="{00000000-0004-0000-0200-00003F090000}"/>
    <hyperlink ref="F1937" r:id="rId2369" xr:uid="{00000000-0004-0000-0200-000040090000}"/>
    <hyperlink ref="S1937" r:id="rId2370" xr:uid="{00000000-0004-0000-0200-000041090000}"/>
    <hyperlink ref="G1939" r:id="rId2371" xr:uid="{00000000-0004-0000-0200-000042090000}"/>
    <hyperlink ref="S1939" r:id="rId2372" xr:uid="{00000000-0004-0000-0200-000043090000}"/>
    <hyperlink ref="F1941" r:id="rId2373" xr:uid="{00000000-0004-0000-0200-000044090000}"/>
    <hyperlink ref="S1941" r:id="rId2374" xr:uid="{00000000-0004-0000-0200-000045090000}"/>
    <hyperlink ref="S1944" r:id="rId2375" xr:uid="{00000000-0004-0000-0200-000046090000}"/>
    <hyperlink ref="G1946" r:id="rId2376" xr:uid="{00000000-0004-0000-0200-000047090000}"/>
    <hyperlink ref="S1946" r:id="rId2377" xr:uid="{00000000-0004-0000-0200-000048090000}"/>
    <hyperlink ref="S1947" r:id="rId2378" xr:uid="{00000000-0004-0000-0200-000049090000}"/>
    <hyperlink ref="F1949" r:id="rId2379" xr:uid="{00000000-0004-0000-0200-00004A090000}"/>
    <hyperlink ref="S1949" r:id="rId2380" xr:uid="{00000000-0004-0000-0200-00004B090000}"/>
    <hyperlink ref="F1950" r:id="rId2381" location=".W_BTDKgEUmF.facebook" xr:uid="{00000000-0004-0000-0200-00004C090000}"/>
    <hyperlink ref="R1950" r:id="rId2382" xr:uid="{00000000-0004-0000-0200-00004D090000}"/>
    <hyperlink ref="S1950" r:id="rId2383" xr:uid="{00000000-0004-0000-0200-00004E090000}"/>
    <hyperlink ref="F1951" r:id="rId2384" xr:uid="{00000000-0004-0000-0200-00004F090000}"/>
    <hyperlink ref="F1952" r:id="rId2385" xr:uid="{00000000-0004-0000-0200-000050090000}"/>
    <hyperlink ref="S1952" r:id="rId2386" xr:uid="{00000000-0004-0000-0200-000051090000}"/>
    <hyperlink ref="F1953" r:id="rId2387" xr:uid="{00000000-0004-0000-0200-000052090000}"/>
    <hyperlink ref="G1953" r:id="rId2388" xr:uid="{00000000-0004-0000-0200-000053090000}"/>
    <hyperlink ref="S1953" r:id="rId2389" xr:uid="{00000000-0004-0000-0200-000054090000}"/>
    <hyperlink ref="F1955" r:id="rId2390" xr:uid="{00000000-0004-0000-0200-000055090000}"/>
    <hyperlink ref="S1955" r:id="rId2391" xr:uid="{00000000-0004-0000-0200-000056090000}"/>
    <hyperlink ref="F1956" r:id="rId2392" xr:uid="{00000000-0004-0000-0200-000057090000}"/>
    <hyperlink ref="G1956" r:id="rId2393" xr:uid="{00000000-0004-0000-0200-000058090000}"/>
    <hyperlink ref="S1956" r:id="rId2394" xr:uid="{00000000-0004-0000-0200-000059090000}"/>
    <hyperlink ref="F1957" r:id="rId2395" xr:uid="{00000000-0004-0000-0200-00005A090000}"/>
    <hyperlink ref="F1958" r:id="rId2396" xr:uid="{00000000-0004-0000-0200-00005B090000}"/>
    <hyperlink ref="F1959" r:id="rId2397" xr:uid="{00000000-0004-0000-0200-00005C090000}"/>
    <hyperlink ref="S1959" r:id="rId2398" xr:uid="{00000000-0004-0000-0200-00005D090000}"/>
    <hyperlink ref="F1960" r:id="rId2399" xr:uid="{00000000-0004-0000-0200-00005E090000}"/>
    <hyperlink ref="S1960" r:id="rId2400" xr:uid="{00000000-0004-0000-0200-00005F090000}"/>
    <hyperlink ref="F1961" r:id="rId2401" xr:uid="{00000000-0004-0000-0200-000060090000}"/>
    <hyperlink ref="S1961" r:id="rId2402" xr:uid="{00000000-0004-0000-0200-000061090000}"/>
    <hyperlink ref="G1962" r:id="rId2403" xr:uid="{00000000-0004-0000-0200-000062090000}"/>
    <hyperlink ref="F1964" r:id="rId2404" xr:uid="{00000000-0004-0000-0200-000063090000}"/>
    <hyperlink ref="F1965" r:id="rId2405" xr:uid="{00000000-0004-0000-0200-000064090000}"/>
    <hyperlink ref="F1966" r:id="rId2406" xr:uid="{00000000-0004-0000-0200-000065090000}"/>
    <hyperlink ref="S1967" r:id="rId2407" xr:uid="{00000000-0004-0000-0200-000066090000}"/>
    <hyperlink ref="F1968" r:id="rId2408" xr:uid="{00000000-0004-0000-0200-000067090000}"/>
    <hyperlink ref="G1968" r:id="rId2409" xr:uid="{00000000-0004-0000-0200-000068090000}"/>
    <hyperlink ref="F1969" r:id="rId2410" xr:uid="{00000000-0004-0000-0200-000069090000}"/>
    <hyperlink ref="F1970" r:id="rId2411" xr:uid="{00000000-0004-0000-0200-00006A090000}"/>
    <hyperlink ref="F1971" r:id="rId2412" xr:uid="{00000000-0004-0000-0200-00006B090000}"/>
    <hyperlink ref="F1972" r:id="rId2413" xr:uid="{00000000-0004-0000-0200-00006C090000}"/>
    <hyperlink ref="F1973" r:id="rId2414" xr:uid="{00000000-0004-0000-0200-00006D090000}"/>
    <hyperlink ref="F1974" r:id="rId2415" xr:uid="{00000000-0004-0000-0200-00006E090000}"/>
    <hyperlink ref="F1976" r:id="rId2416" location=".W_UBmFdij_B.twitter" xr:uid="{00000000-0004-0000-0200-00006F090000}"/>
    <hyperlink ref="F1977" r:id="rId2417" xr:uid="{00000000-0004-0000-0200-000070090000}"/>
    <hyperlink ref="S1977" r:id="rId2418" xr:uid="{00000000-0004-0000-0200-000071090000}"/>
    <hyperlink ref="F1978" r:id="rId2419" xr:uid="{00000000-0004-0000-0200-000072090000}"/>
    <hyperlink ref="F1979" r:id="rId2420" xr:uid="{00000000-0004-0000-0200-000073090000}"/>
    <hyperlink ref="F1980" r:id="rId2421" xr:uid="{00000000-0004-0000-0200-000074090000}"/>
    <hyperlink ref="S1980" r:id="rId2422" xr:uid="{00000000-0004-0000-0200-000075090000}"/>
    <hyperlink ref="S1981" r:id="rId2423" xr:uid="{00000000-0004-0000-0200-000076090000}"/>
    <hyperlink ref="F1982" r:id="rId2424" xr:uid="{00000000-0004-0000-0200-000077090000}"/>
    <hyperlink ref="F1983" r:id="rId2425" xr:uid="{00000000-0004-0000-0200-000078090000}"/>
    <hyperlink ref="S1983" r:id="rId2426" xr:uid="{00000000-0004-0000-0200-000079090000}"/>
    <hyperlink ref="F1984" r:id="rId2427" xr:uid="{00000000-0004-0000-0200-00007A090000}"/>
    <hyperlink ref="F1985" r:id="rId2428" xr:uid="{00000000-0004-0000-0200-00007B090000}"/>
    <hyperlink ref="S1985" r:id="rId2429" xr:uid="{00000000-0004-0000-0200-00007C090000}"/>
    <hyperlink ref="G1986" r:id="rId2430" xr:uid="{00000000-0004-0000-0200-00007D090000}"/>
    <hyperlink ref="G1987" r:id="rId2431" xr:uid="{00000000-0004-0000-0200-00007E090000}"/>
    <hyperlink ref="S1987" r:id="rId2432" xr:uid="{00000000-0004-0000-0200-00007F090000}"/>
    <hyperlink ref="F1988" r:id="rId2433" xr:uid="{00000000-0004-0000-0200-000080090000}"/>
    <hyperlink ref="G1989" r:id="rId2434" xr:uid="{00000000-0004-0000-0200-000081090000}"/>
    <hyperlink ref="S1989" r:id="rId2435" xr:uid="{00000000-0004-0000-0200-000082090000}"/>
    <hyperlink ref="F1990" r:id="rId2436" xr:uid="{00000000-0004-0000-0200-000083090000}"/>
    <hyperlink ref="F1991" r:id="rId2437" xr:uid="{00000000-0004-0000-0200-000084090000}"/>
    <hyperlink ref="F1992" r:id="rId2438" xr:uid="{00000000-0004-0000-0200-000085090000}"/>
    <hyperlink ref="F1993" r:id="rId2439" location=".W_T1zi0uZqu.twitter" xr:uid="{00000000-0004-0000-0200-000086090000}"/>
    <hyperlink ref="F1994" r:id="rId2440" xr:uid="{00000000-0004-0000-0200-000087090000}"/>
    <hyperlink ref="F1995" r:id="rId2441" xr:uid="{00000000-0004-0000-0200-000088090000}"/>
    <hyperlink ref="G1996" r:id="rId2442" xr:uid="{00000000-0004-0000-0200-000089090000}"/>
    <hyperlink ref="F1997" r:id="rId2443" xr:uid="{00000000-0004-0000-0200-00008A090000}"/>
    <hyperlink ref="G1997" r:id="rId2444" xr:uid="{00000000-0004-0000-0200-00008B090000}"/>
    <hyperlink ref="F1998" r:id="rId2445" xr:uid="{00000000-0004-0000-0200-00008C090000}"/>
    <hyperlink ref="F1999" r:id="rId2446" xr:uid="{00000000-0004-0000-0200-00008D090000}"/>
    <hyperlink ref="S1999" r:id="rId2447" xr:uid="{00000000-0004-0000-0200-00008E090000}"/>
    <hyperlink ref="F2001" r:id="rId2448" xr:uid="{00000000-0004-0000-0200-00008F090000}"/>
    <hyperlink ref="F2002" r:id="rId2449" xr:uid="{00000000-0004-0000-0200-000090090000}"/>
    <hyperlink ref="F2003" r:id="rId2450" xr:uid="{00000000-0004-0000-0200-000091090000}"/>
    <hyperlink ref="G2004" r:id="rId2451" xr:uid="{00000000-0004-0000-0200-000092090000}"/>
    <hyperlink ref="S2005" r:id="rId2452" xr:uid="{00000000-0004-0000-0200-000093090000}"/>
    <hyperlink ref="F2006" r:id="rId2453" xr:uid="{00000000-0004-0000-0200-000094090000}"/>
    <hyperlink ref="F2007" r:id="rId2454" xr:uid="{00000000-0004-0000-0200-000095090000}"/>
    <hyperlink ref="F2008" r:id="rId2455" xr:uid="{00000000-0004-0000-0200-000096090000}"/>
    <hyperlink ref="F2009" r:id="rId2456" xr:uid="{00000000-0004-0000-0200-000097090000}"/>
    <hyperlink ref="G2010" r:id="rId2457" xr:uid="{00000000-0004-0000-0200-000098090000}"/>
    <hyperlink ref="F2011" r:id="rId2458" xr:uid="{00000000-0004-0000-0200-000099090000}"/>
    <hyperlink ref="F2012" r:id="rId2459" xr:uid="{00000000-0004-0000-0200-00009A090000}"/>
    <hyperlink ref="S2012" r:id="rId2460" xr:uid="{00000000-0004-0000-0200-00009B090000}"/>
    <hyperlink ref="F2013" r:id="rId2461" xr:uid="{00000000-0004-0000-0200-00009C090000}"/>
    <hyperlink ref="F2014" r:id="rId2462" xr:uid="{00000000-0004-0000-0200-00009D090000}"/>
    <hyperlink ref="F2015" r:id="rId2463" xr:uid="{00000000-0004-0000-0200-00009E090000}"/>
    <hyperlink ref="S2015" r:id="rId2464" xr:uid="{00000000-0004-0000-0200-00009F090000}"/>
    <hyperlink ref="S2017" r:id="rId2465" xr:uid="{00000000-0004-0000-0200-0000A0090000}"/>
    <hyperlink ref="G2018" r:id="rId2466" xr:uid="{00000000-0004-0000-0200-0000A1090000}"/>
    <hyperlink ref="S2018" r:id="rId2467" xr:uid="{00000000-0004-0000-0200-0000A2090000}"/>
    <hyperlink ref="F2019" r:id="rId2468" xr:uid="{00000000-0004-0000-0200-0000A3090000}"/>
    <hyperlink ref="S2019" r:id="rId2469" xr:uid="{00000000-0004-0000-0200-0000A4090000}"/>
    <hyperlink ref="F2020" r:id="rId2470" xr:uid="{00000000-0004-0000-0200-0000A5090000}"/>
    <hyperlink ref="F2021" r:id="rId2471" xr:uid="{00000000-0004-0000-0200-0000A6090000}"/>
    <hyperlink ref="F2024" r:id="rId2472" xr:uid="{00000000-0004-0000-0200-0000A7090000}"/>
    <hyperlink ref="F2025" r:id="rId2473" xr:uid="{00000000-0004-0000-0200-0000A8090000}"/>
    <hyperlink ref="S2025" r:id="rId2474" xr:uid="{00000000-0004-0000-0200-0000A9090000}"/>
    <hyperlink ref="F2026" r:id="rId2475" xr:uid="{00000000-0004-0000-0200-0000AA090000}"/>
    <hyperlink ref="F2027" r:id="rId2476" xr:uid="{00000000-0004-0000-0200-0000AB090000}"/>
    <hyperlink ref="G2027" r:id="rId2477" xr:uid="{00000000-0004-0000-0200-0000AC090000}"/>
    <hyperlink ref="F2028" r:id="rId2478" xr:uid="{00000000-0004-0000-0200-0000AD090000}"/>
    <hyperlink ref="G2028" r:id="rId2479" xr:uid="{00000000-0004-0000-0200-0000AE090000}"/>
    <hyperlink ref="S2028" r:id="rId2480" xr:uid="{00000000-0004-0000-0200-0000AF090000}"/>
    <hyperlink ref="F2029" r:id="rId2481" xr:uid="{00000000-0004-0000-0200-0000B0090000}"/>
    <hyperlink ref="F2030" r:id="rId2482" xr:uid="{00000000-0004-0000-0200-0000B1090000}"/>
    <hyperlink ref="F2031" r:id="rId2483" xr:uid="{00000000-0004-0000-0200-0000B2090000}"/>
    <hyperlink ref="S2031" r:id="rId2484" xr:uid="{00000000-0004-0000-0200-0000B3090000}"/>
    <hyperlink ref="F2032" r:id="rId2485" xr:uid="{00000000-0004-0000-0200-0000B4090000}"/>
    <hyperlink ref="G2032" r:id="rId2486" xr:uid="{00000000-0004-0000-0200-0000B5090000}"/>
    <hyperlink ref="F2033" r:id="rId2487" xr:uid="{00000000-0004-0000-0200-0000B6090000}"/>
    <hyperlink ref="G2033" r:id="rId2488" xr:uid="{00000000-0004-0000-0200-0000B7090000}"/>
    <hyperlink ref="F2035" r:id="rId2489" xr:uid="{00000000-0004-0000-0200-0000B8090000}"/>
    <hyperlink ref="S2035" r:id="rId2490" xr:uid="{00000000-0004-0000-0200-0000B9090000}"/>
    <hyperlink ref="G2036" r:id="rId2491" xr:uid="{00000000-0004-0000-0200-0000BA090000}"/>
    <hyperlink ref="G2037" r:id="rId2492" xr:uid="{00000000-0004-0000-0200-0000BB090000}"/>
    <hyperlink ref="F2040" r:id="rId2493" xr:uid="{00000000-0004-0000-0200-0000BC090000}"/>
    <hyperlink ref="F2041" r:id="rId2494" xr:uid="{00000000-0004-0000-0200-0000BD090000}"/>
    <hyperlink ref="G2041" r:id="rId2495" xr:uid="{00000000-0004-0000-0200-0000BE090000}"/>
    <hyperlink ref="F2042" r:id="rId2496" xr:uid="{00000000-0004-0000-0200-0000BF090000}"/>
    <hyperlink ref="F2043" r:id="rId2497" xr:uid="{00000000-0004-0000-0200-0000C0090000}"/>
    <hyperlink ref="G2043" r:id="rId2498" xr:uid="{00000000-0004-0000-0200-0000C1090000}"/>
    <hyperlink ref="S2044" r:id="rId2499" xr:uid="{00000000-0004-0000-0200-0000C2090000}"/>
    <hyperlink ref="F2045" r:id="rId2500" xr:uid="{00000000-0004-0000-0200-0000C3090000}"/>
    <hyperlink ref="G2045" r:id="rId2501" xr:uid="{00000000-0004-0000-0200-0000C4090000}"/>
    <hyperlink ref="S2045" r:id="rId2502" xr:uid="{00000000-0004-0000-0200-0000C5090000}"/>
    <hyperlink ref="S2046" r:id="rId2503" xr:uid="{00000000-0004-0000-0200-0000C6090000}"/>
    <hyperlink ref="F2047" r:id="rId2504" xr:uid="{00000000-0004-0000-0200-0000C7090000}"/>
    <hyperlink ref="G2047" r:id="rId2505" xr:uid="{00000000-0004-0000-0200-0000C8090000}"/>
    <hyperlink ref="S2047" r:id="rId2506" xr:uid="{00000000-0004-0000-0200-0000C9090000}"/>
    <hyperlink ref="F2050" r:id="rId2507" xr:uid="{00000000-0004-0000-0200-0000CA090000}"/>
    <hyperlink ref="G2050" r:id="rId2508" xr:uid="{00000000-0004-0000-0200-0000CB090000}"/>
    <hyperlink ref="F2052" r:id="rId2509" xr:uid="{00000000-0004-0000-0200-0000CC090000}"/>
    <hyperlink ref="S2052" r:id="rId2510" xr:uid="{00000000-0004-0000-0200-0000CD090000}"/>
    <hyperlink ref="F2053" r:id="rId2511" xr:uid="{00000000-0004-0000-0200-0000CE090000}"/>
    <hyperlink ref="F2054" r:id="rId2512" xr:uid="{00000000-0004-0000-0200-0000CF090000}"/>
    <hyperlink ref="S2054" r:id="rId2513" xr:uid="{00000000-0004-0000-0200-0000D0090000}"/>
    <hyperlink ref="F2055" r:id="rId2514" xr:uid="{00000000-0004-0000-0200-0000D1090000}"/>
    <hyperlink ref="G2056" r:id="rId2515" xr:uid="{00000000-0004-0000-0200-0000D2090000}"/>
    <hyperlink ref="F2058" r:id="rId2516" xr:uid="{00000000-0004-0000-0200-0000D3090000}"/>
    <hyperlink ref="F2059" r:id="rId2517" xr:uid="{00000000-0004-0000-0200-0000D4090000}"/>
    <hyperlink ref="F2060" r:id="rId2518" xr:uid="{00000000-0004-0000-0200-0000D5090000}"/>
    <hyperlink ref="G2060" r:id="rId2519" xr:uid="{00000000-0004-0000-0200-0000D6090000}"/>
    <hyperlink ref="F2061" r:id="rId2520" xr:uid="{00000000-0004-0000-0200-0000D7090000}"/>
    <hyperlink ref="G2061" r:id="rId2521" xr:uid="{00000000-0004-0000-0200-0000D8090000}"/>
    <hyperlink ref="G2063" r:id="rId2522" xr:uid="{00000000-0004-0000-0200-0000D9090000}"/>
    <hyperlink ref="F2064" r:id="rId2523" xr:uid="{00000000-0004-0000-0200-0000DA090000}"/>
    <hyperlink ref="G2065" r:id="rId2524" xr:uid="{00000000-0004-0000-0200-0000DB090000}"/>
    <hyperlink ref="S2065" r:id="rId2525" xr:uid="{00000000-0004-0000-0200-0000DC090000}"/>
    <hyperlink ref="F2067" r:id="rId2526" xr:uid="{00000000-0004-0000-0200-0000DD090000}"/>
    <hyperlink ref="G2067" r:id="rId2527" xr:uid="{00000000-0004-0000-0200-0000DE090000}"/>
    <hyperlink ref="F2068" r:id="rId2528" xr:uid="{00000000-0004-0000-0200-0000DF090000}"/>
    <hyperlink ref="G2070" r:id="rId2529" xr:uid="{00000000-0004-0000-0200-0000E0090000}"/>
    <hyperlink ref="S2070" r:id="rId2530" xr:uid="{00000000-0004-0000-0200-0000E1090000}"/>
    <hyperlink ref="G2071" r:id="rId2531" xr:uid="{00000000-0004-0000-0200-0000E2090000}"/>
    <hyperlink ref="S2071" r:id="rId2532" xr:uid="{00000000-0004-0000-0200-0000E3090000}"/>
    <hyperlink ref="F2072" r:id="rId2533" xr:uid="{00000000-0004-0000-0200-0000E4090000}"/>
    <hyperlink ref="S2072" r:id="rId2534" xr:uid="{00000000-0004-0000-0200-0000E5090000}"/>
    <hyperlink ref="F2073" r:id="rId2535" xr:uid="{00000000-0004-0000-0200-0000E6090000}"/>
    <hyperlink ref="G2074" r:id="rId2536" xr:uid="{00000000-0004-0000-0200-0000E7090000}"/>
    <hyperlink ref="S2074" r:id="rId2537" xr:uid="{00000000-0004-0000-0200-0000E8090000}"/>
    <hyperlink ref="F2075" r:id="rId2538" xr:uid="{00000000-0004-0000-0200-0000E9090000}"/>
    <hyperlink ref="F2077" r:id="rId2539" xr:uid="{00000000-0004-0000-0200-0000EA090000}"/>
    <hyperlink ref="F2078" r:id="rId2540" xr:uid="{00000000-0004-0000-0200-0000EB090000}"/>
    <hyperlink ref="F2079" r:id="rId2541" xr:uid="{00000000-0004-0000-0200-0000EC090000}"/>
    <hyperlink ref="S2079" r:id="rId2542" xr:uid="{00000000-0004-0000-0200-0000ED090000}"/>
    <hyperlink ref="F2080" r:id="rId2543" xr:uid="{00000000-0004-0000-0200-0000EE090000}"/>
    <hyperlink ref="F2081" r:id="rId2544" xr:uid="{00000000-0004-0000-0200-0000EF090000}"/>
    <hyperlink ref="S2081" r:id="rId2545" xr:uid="{00000000-0004-0000-0200-0000F0090000}"/>
    <hyperlink ref="F2084" r:id="rId2546" xr:uid="{00000000-0004-0000-0200-0000F1090000}"/>
    <hyperlink ref="S2084" r:id="rId2547" xr:uid="{00000000-0004-0000-0200-0000F2090000}"/>
    <hyperlink ref="F2085" r:id="rId2548" xr:uid="{00000000-0004-0000-0200-0000F3090000}"/>
    <hyperlink ref="S2085" r:id="rId2549" xr:uid="{00000000-0004-0000-0200-0000F4090000}"/>
    <hyperlink ref="F2086" r:id="rId2550" xr:uid="{00000000-0004-0000-0200-0000F5090000}"/>
    <hyperlink ref="S2086" r:id="rId2551" xr:uid="{00000000-0004-0000-0200-0000F6090000}"/>
    <hyperlink ref="G2087" r:id="rId2552" xr:uid="{00000000-0004-0000-0200-0000F7090000}"/>
    <hyperlink ref="G2088" r:id="rId2553" xr:uid="{00000000-0004-0000-0200-0000F8090000}"/>
    <hyperlink ref="F2090" r:id="rId2554" xr:uid="{00000000-0004-0000-0200-0000F9090000}"/>
    <hyperlink ref="G2090" r:id="rId2555" xr:uid="{00000000-0004-0000-0200-0000FA090000}"/>
    <hyperlink ref="F2091" r:id="rId2556" location=".W_RzzUmogFo.twitter" xr:uid="{00000000-0004-0000-0200-0000FB090000}"/>
    <hyperlink ref="G2093" r:id="rId2557" xr:uid="{00000000-0004-0000-0200-0000FC090000}"/>
    <hyperlink ref="F2094" r:id="rId2558" xr:uid="{00000000-0004-0000-0200-0000FD090000}"/>
    <hyperlink ref="G2094" r:id="rId2559" xr:uid="{00000000-0004-0000-0200-0000FE090000}"/>
    <hyperlink ref="F2095" r:id="rId2560" xr:uid="{00000000-0004-0000-0200-0000FF090000}"/>
    <hyperlink ref="F2096" r:id="rId2561" xr:uid="{00000000-0004-0000-0200-0000000A0000}"/>
    <hyperlink ref="F2097" r:id="rId2562" xr:uid="{00000000-0004-0000-0200-0000010A0000}"/>
    <hyperlink ref="S2097" r:id="rId2563" xr:uid="{00000000-0004-0000-0200-0000020A0000}"/>
    <hyperlink ref="F2098" r:id="rId2564" xr:uid="{00000000-0004-0000-0200-0000030A0000}"/>
    <hyperlink ref="G2098" r:id="rId2565" xr:uid="{00000000-0004-0000-0200-0000040A0000}"/>
    <hyperlink ref="F2099" r:id="rId2566" xr:uid="{00000000-0004-0000-0200-0000050A0000}"/>
    <hyperlink ref="F2100" r:id="rId2567" xr:uid="{00000000-0004-0000-0200-0000060A0000}"/>
    <hyperlink ref="G2100" r:id="rId2568" xr:uid="{00000000-0004-0000-0200-0000070A0000}"/>
    <hyperlink ref="G2101" r:id="rId2569" xr:uid="{00000000-0004-0000-0200-0000080A0000}"/>
    <hyperlink ref="F2102" r:id="rId2570" xr:uid="{00000000-0004-0000-0200-0000090A0000}"/>
    <hyperlink ref="G2104" r:id="rId2571" xr:uid="{00000000-0004-0000-0200-00000A0A0000}"/>
    <hyperlink ref="S2105" r:id="rId2572" xr:uid="{00000000-0004-0000-0200-00000B0A0000}"/>
    <hyperlink ref="F2106" r:id="rId2573" xr:uid="{00000000-0004-0000-0200-00000C0A0000}"/>
    <hyperlink ref="S2106" r:id="rId2574" xr:uid="{00000000-0004-0000-0200-00000D0A0000}"/>
    <hyperlink ref="G2109" r:id="rId2575" xr:uid="{00000000-0004-0000-0200-00000E0A0000}"/>
    <hyperlink ref="F2110" r:id="rId2576" xr:uid="{00000000-0004-0000-0200-00000F0A0000}"/>
    <hyperlink ref="F2112" r:id="rId2577" xr:uid="{00000000-0004-0000-0200-0000100A0000}"/>
    <hyperlink ref="F2114" r:id="rId2578" xr:uid="{00000000-0004-0000-0200-0000110A0000}"/>
    <hyperlink ref="G2114" r:id="rId2579" xr:uid="{00000000-0004-0000-0200-0000120A0000}"/>
    <hyperlink ref="S2115" r:id="rId2580" xr:uid="{00000000-0004-0000-0200-0000130A0000}"/>
    <hyperlink ref="G2116" r:id="rId2581" xr:uid="{00000000-0004-0000-0200-0000140A0000}"/>
    <hyperlink ref="G2117" r:id="rId2582" xr:uid="{00000000-0004-0000-0200-0000150A0000}"/>
    <hyperlink ref="F2118" r:id="rId2583" xr:uid="{00000000-0004-0000-0200-0000160A0000}"/>
    <hyperlink ref="G2118" r:id="rId2584" xr:uid="{00000000-0004-0000-0200-0000170A0000}"/>
    <hyperlink ref="G2120" r:id="rId2585" xr:uid="{00000000-0004-0000-0200-0000180A0000}"/>
    <hyperlink ref="S2120" r:id="rId2586" xr:uid="{00000000-0004-0000-0200-0000190A0000}"/>
    <hyperlink ref="S2121" r:id="rId2587" xr:uid="{00000000-0004-0000-0200-00001A0A0000}"/>
    <hyperlink ref="G2123" r:id="rId2588" xr:uid="{00000000-0004-0000-0200-00001B0A0000}"/>
    <hyperlink ref="F2125" r:id="rId2589" xr:uid="{00000000-0004-0000-0200-00001C0A0000}"/>
    <hyperlink ref="G2126" r:id="rId2590" xr:uid="{00000000-0004-0000-0200-00001D0A0000}"/>
    <hyperlink ref="F2127" r:id="rId2591" xr:uid="{00000000-0004-0000-0200-00001E0A0000}"/>
    <hyperlink ref="G2128" r:id="rId2592" xr:uid="{00000000-0004-0000-0200-00001F0A0000}"/>
    <hyperlink ref="S2129" r:id="rId2593" xr:uid="{00000000-0004-0000-0200-0000200A0000}"/>
    <hyperlink ref="F2130" r:id="rId2594" xr:uid="{00000000-0004-0000-0200-0000210A0000}"/>
    <hyperlink ref="F2131" r:id="rId2595" xr:uid="{00000000-0004-0000-0200-0000220A0000}"/>
    <hyperlink ref="G2131" r:id="rId2596" xr:uid="{00000000-0004-0000-0200-0000230A0000}"/>
    <hyperlink ref="F2133" r:id="rId2597" xr:uid="{00000000-0004-0000-0200-0000240A0000}"/>
    <hyperlink ref="S2133" r:id="rId2598" xr:uid="{00000000-0004-0000-0200-0000250A0000}"/>
    <hyperlink ref="F2135" r:id="rId2599" xr:uid="{00000000-0004-0000-0200-0000260A0000}"/>
    <hyperlink ref="S2135" r:id="rId2600" xr:uid="{00000000-0004-0000-0200-0000270A0000}"/>
    <hyperlink ref="F2136" r:id="rId2601" xr:uid="{00000000-0004-0000-0200-0000280A0000}"/>
    <hyperlink ref="F2137" r:id="rId2602" xr:uid="{00000000-0004-0000-0200-0000290A0000}"/>
    <hyperlink ref="G2138" r:id="rId2603" xr:uid="{00000000-0004-0000-0200-00002A0A0000}"/>
    <hyperlink ref="S2138" r:id="rId2604" xr:uid="{00000000-0004-0000-0200-00002B0A0000}"/>
    <hyperlink ref="F2139" r:id="rId2605" location=".W_Rggqd4cbI.twitter" xr:uid="{00000000-0004-0000-0200-00002C0A0000}"/>
    <hyperlink ref="F2140" r:id="rId2606" xr:uid="{00000000-0004-0000-0200-00002D0A0000}"/>
    <hyperlink ref="F2141" r:id="rId2607" xr:uid="{00000000-0004-0000-0200-00002E0A0000}"/>
    <hyperlink ref="F2142" r:id="rId2608" xr:uid="{00000000-0004-0000-0200-00002F0A0000}"/>
    <hyperlink ref="G2142" r:id="rId2609" xr:uid="{00000000-0004-0000-0200-0000300A0000}"/>
    <hyperlink ref="S2142" r:id="rId2610" xr:uid="{00000000-0004-0000-0200-0000310A0000}"/>
    <hyperlink ref="F2143" r:id="rId2611" xr:uid="{00000000-0004-0000-0200-0000320A0000}"/>
    <hyperlink ref="F2144" r:id="rId2612" xr:uid="{00000000-0004-0000-0200-0000330A0000}"/>
    <hyperlink ref="F2145" r:id="rId2613" xr:uid="{00000000-0004-0000-0200-0000340A0000}"/>
    <hyperlink ref="G2145" r:id="rId2614" xr:uid="{00000000-0004-0000-0200-0000350A0000}"/>
    <hyperlink ref="F2147" r:id="rId2615" xr:uid="{00000000-0004-0000-0200-0000360A0000}"/>
    <hyperlink ref="F2149" r:id="rId2616" xr:uid="{00000000-0004-0000-0200-0000370A0000}"/>
    <hyperlink ref="S2149" r:id="rId2617" xr:uid="{00000000-0004-0000-0200-0000380A0000}"/>
    <hyperlink ref="F2150" r:id="rId2618" xr:uid="{00000000-0004-0000-0200-0000390A0000}"/>
    <hyperlink ref="G2150" r:id="rId2619" xr:uid="{00000000-0004-0000-0200-00003A0A0000}"/>
    <hyperlink ref="S2150" r:id="rId2620" xr:uid="{00000000-0004-0000-0200-00003B0A0000}"/>
    <hyperlink ref="G2151" r:id="rId2621" xr:uid="{00000000-0004-0000-0200-00003C0A0000}"/>
    <hyperlink ref="F2152" r:id="rId2622" xr:uid="{00000000-0004-0000-0200-00003D0A0000}"/>
    <hyperlink ref="S2152" r:id="rId2623" xr:uid="{00000000-0004-0000-0200-00003E0A0000}"/>
    <hyperlink ref="F2153" r:id="rId2624" xr:uid="{00000000-0004-0000-0200-00003F0A0000}"/>
    <hyperlink ref="S2153" r:id="rId2625" xr:uid="{00000000-0004-0000-0200-0000400A0000}"/>
    <hyperlink ref="F2155" r:id="rId2626" xr:uid="{00000000-0004-0000-0200-0000410A0000}"/>
    <hyperlink ref="F2156" r:id="rId2627" xr:uid="{00000000-0004-0000-0200-0000420A0000}"/>
    <hyperlink ref="F2158" r:id="rId2628" xr:uid="{00000000-0004-0000-0200-0000430A0000}"/>
    <hyperlink ref="S2158" r:id="rId2629" xr:uid="{00000000-0004-0000-0200-0000440A0000}"/>
    <hyperlink ref="F2159" r:id="rId2630" xr:uid="{00000000-0004-0000-0200-0000450A0000}"/>
    <hyperlink ref="F2160" r:id="rId2631" xr:uid="{00000000-0004-0000-0200-0000460A0000}"/>
    <hyperlink ref="F2161" r:id="rId2632" xr:uid="{00000000-0004-0000-0200-0000470A0000}"/>
    <hyperlink ref="S2162" r:id="rId2633" xr:uid="{00000000-0004-0000-0200-0000480A0000}"/>
    <hyperlink ref="F2165" r:id="rId2634" xr:uid="{00000000-0004-0000-0200-0000490A0000}"/>
    <hyperlink ref="S2165" r:id="rId2635" xr:uid="{00000000-0004-0000-0200-00004A0A0000}"/>
    <hyperlink ref="G2168" r:id="rId2636" xr:uid="{00000000-0004-0000-0200-00004B0A0000}"/>
    <hyperlink ref="F2169" r:id="rId2637" xr:uid="{00000000-0004-0000-0200-00004C0A0000}"/>
    <hyperlink ref="G2169" r:id="rId2638" xr:uid="{00000000-0004-0000-0200-00004D0A0000}"/>
    <hyperlink ref="F2172" r:id="rId2639" xr:uid="{00000000-0004-0000-0200-00004E0A0000}"/>
    <hyperlink ref="G2173" r:id="rId2640" xr:uid="{00000000-0004-0000-0200-00004F0A0000}"/>
    <hyperlink ref="F2174" r:id="rId2641" xr:uid="{00000000-0004-0000-0200-0000500A0000}"/>
    <hyperlink ref="F2175" r:id="rId2642" xr:uid="{00000000-0004-0000-0200-0000510A0000}"/>
    <hyperlink ref="G2176" r:id="rId2643" xr:uid="{00000000-0004-0000-0200-0000520A0000}"/>
    <hyperlink ref="S2176" r:id="rId2644" xr:uid="{00000000-0004-0000-0200-0000530A0000}"/>
    <hyperlink ref="F2177" r:id="rId2645" xr:uid="{00000000-0004-0000-0200-0000540A0000}"/>
    <hyperlink ref="F2181" r:id="rId2646" xr:uid="{00000000-0004-0000-0200-0000550A0000}"/>
    <hyperlink ref="G2181" r:id="rId2647" xr:uid="{00000000-0004-0000-0200-0000560A0000}"/>
    <hyperlink ref="F2182" r:id="rId2648" xr:uid="{00000000-0004-0000-0200-0000570A0000}"/>
    <hyperlink ref="G2182" r:id="rId2649" xr:uid="{00000000-0004-0000-0200-0000580A0000}"/>
    <hyperlink ref="S2182" r:id="rId2650" xr:uid="{00000000-0004-0000-0200-0000590A0000}"/>
    <hyperlink ref="F2183" r:id="rId2651" location=".W_RSupoK5uo.twitter" xr:uid="{00000000-0004-0000-0200-00005A0A0000}"/>
    <hyperlink ref="G2184" r:id="rId2652" xr:uid="{00000000-0004-0000-0200-00005B0A0000}"/>
    <hyperlink ref="S2184" r:id="rId2653" xr:uid="{00000000-0004-0000-0200-00005C0A0000}"/>
    <hyperlink ref="F2185" r:id="rId2654" xr:uid="{00000000-0004-0000-0200-00005D0A0000}"/>
    <hyperlink ref="F2186" r:id="rId2655" xr:uid="{00000000-0004-0000-0200-00005E0A0000}"/>
    <hyperlink ref="S2186" r:id="rId2656" xr:uid="{00000000-0004-0000-0200-00005F0A0000}"/>
    <hyperlink ref="F2187" r:id="rId2657" xr:uid="{00000000-0004-0000-0200-0000600A0000}"/>
    <hyperlink ref="S2187" r:id="rId2658" xr:uid="{00000000-0004-0000-0200-0000610A0000}"/>
    <hyperlink ref="G2190" r:id="rId2659" xr:uid="{00000000-0004-0000-0200-0000620A0000}"/>
    <hyperlink ref="S2190" r:id="rId2660" xr:uid="{00000000-0004-0000-0200-0000630A0000}"/>
    <hyperlink ref="F2192" r:id="rId2661" location="Echobox=1542696917" xr:uid="{00000000-0004-0000-0200-0000640A0000}"/>
    <hyperlink ref="F2194" r:id="rId2662" xr:uid="{00000000-0004-0000-0200-0000650A0000}"/>
    <hyperlink ref="G2195" r:id="rId2663" xr:uid="{00000000-0004-0000-0200-0000660A0000}"/>
    <hyperlink ref="F2196" r:id="rId2664" xr:uid="{00000000-0004-0000-0200-0000670A0000}"/>
    <hyperlink ref="S2196" r:id="rId2665" xr:uid="{00000000-0004-0000-0200-0000680A0000}"/>
    <hyperlink ref="F2197" r:id="rId2666" xr:uid="{00000000-0004-0000-0200-0000690A0000}"/>
    <hyperlink ref="F2199" r:id="rId2667" xr:uid="{00000000-0004-0000-0200-00006A0A0000}"/>
    <hyperlink ref="G2199" r:id="rId2668" xr:uid="{00000000-0004-0000-0200-00006B0A0000}"/>
    <hyperlink ref="S2200" r:id="rId2669" xr:uid="{00000000-0004-0000-0200-00006C0A0000}"/>
    <hyperlink ref="G2201" r:id="rId2670" xr:uid="{00000000-0004-0000-0200-00006D0A0000}"/>
    <hyperlink ref="F2202" r:id="rId2671" xr:uid="{00000000-0004-0000-0200-00006E0A0000}"/>
    <hyperlink ref="F2203" r:id="rId2672" xr:uid="{00000000-0004-0000-0200-00006F0A0000}"/>
    <hyperlink ref="F2204" r:id="rId2673" xr:uid="{00000000-0004-0000-0200-0000700A0000}"/>
    <hyperlink ref="S2205" r:id="rId2674" xr:uid="{00000000-0004-0000-0200-0000710A0000}"/>
    <hyperlink ref="G2206" r:id="rId2675" xr:uid="{00000000-0004-0000-0200-0000720A0000}"/>
    <hyperlink ref="F2207" r:id="rId2676" xr:uid="{00000000-0004-0000-0200-0000730A0000}"/>
    <hyperlink ref="G2207" r:id="rId2677" xr:uid="{00000000-0004-0000-0200-0000740A0000}"/>
    <hyperlink ref="S2207" r:id="rId2678" xr:uid="{00000000-0004-0000-0200-0000750A0000}"/>
    <hyperlink ref="G2208" r:id="rId2679" xr:uid="{00000000-0004-0000-0200-0000760A0000}"/>
    <hyperlink ref="F2209" r:id="rId2680" xr:uid="{00000000-0004-0000-0200-0000770A0000}"/>
    <hyperlink ref="G2209" r:id="rId2681" xr:uid="{00000000-0004-0000-0200-0000780A0000}"/>
    <hyperlink ref="S2209" r:id="rId2682" xr:uid="{00000000-0004-0000-0200-0000790A0000}"/>
    <hyperlink ref="F2211" r:id="rId2683" xr:uid="{00000000-0004-0000-0200-00007A0A0000}"/>
    <hyperlink ref="S2211" r:id="rId2684" xr:uid="{00000000-0004-0000-0200-00007B0A0000}"/>
    <hyperlink ref="F2212" r:id="rId2685" xr:uid="{00000000-0004-0000-0200-00007C0A0000}"/>
    <hyperlink ref="G2213" r:id="rId2686" xr:uid="{00000000-0004-0000-0200-00007D0A0000}"/>
    <hyperlink ref="G2214" r:id="rId2687" xr:uid="{00000000-0004-0000-0200-00007E0A0000}"/>
    <hyperlink ref="F2216" r:id="rId2688" xr:uid="{00000000-0004-0000-0200-00007F0A0000}"/>
    <hyperlink ref="F2217" r:id="rId2689" xr:uid="{00000000-0004-0000-0200-0000800A0000}"/>
    <hyperlink ref="S2217" r:id="rId2690" xr:uid="{00000000-0004-0000-0200-0000810A0000}"/>
    <hyperlink ref="F2218" r:id="rId2691" xr:uid="{00000000-0004-0000-0200-0000820A0000}"/>
    <hyperlink ref="S2218" r:id="rId2692" xr:uid="{00000000-0004-0000-0200-0000830A0000}"/>
    <hyperlink ref="F2219" r:id="rId2693" xr:uid="{00000000-0004-0000-0200-0000840A0000}"/>
    <hyperlink ref="F2220" r:id="rId2694" xr:uid="{00000000-0004-0000-0200-0000850A0000}"/>
    <hyperlink ref="F2221" r:id="rId2695" xr:uid="{00000000-0004-0000-0200-0000860A0000}"/>
    <hyperlink ref="F2222" r:id="rId2696" xr:uid="{00000000-0004-0000-0200-0000870A0000}"/>
    <hyperlink ref="G2224" r:id="rId2697" xr:uid="{00000000-0004-0000-0200-0000880A0000}"/>
    <hyperlink ref="F2225" r:id="rId2698" xr:uid="{00000000-0004-0000-0200-0000890A0000}"/>
    <hyperlink ref="F2228" r:id="rId2699" xr:uid="{00000000-0004-0000-0200-00008A0A0000}"/>
    <hyperlink ref="S2228" r:id="rId2700" xr:uid="{00000000-0004-0000-0200-00008B0A0000}"/>
    <hyperlink ref="F2229" r:id="rId2701" xr:uid="{00000000-0004-0000-0200-00008C0A0000}"/>
    <hyperlink ref="G2230" r:id="rId2702" xr:uid="{00000000-0004-0000-0200-00008D0A0000}"/>
    <hyperlink ref="F2231" r:id="rId2703" xr:uid="{00000000-0004-0000-0200-00008E0A0000}"/>
    <hyperlink ref="S2231" r:id="rId2704" xr:uid="{00000000-0004-0000-0200-00008F0A0000}"/>
    <hyperlink ref="F2232" r:id="rId2705" xr:uid="{00000000-0004-0000-0200-0000900A0000}"/>
    <hyperlink ref="S2232" r:id="rId2706" xr:uid="{00000000-0004-0000-0200-0000910A0000}"/>
    <hyperlink ref="F2233" r:id="rId2707" xr:uid="{00000000-0004-0000-0200-0000920A0000}"/>
    <hyperlink ref="F2234" r:id="rId2708" xr:uid="{00000000-0004-0000-0200-0000930A0000}"/>
    <hyperlink ref="F2235" r:id="rId2709" xr:uid="{00000000-0004-0000-0200-0000940A0000}"/>
    <hyperlink ref="F2236" r:id="rId2710" xr:uid="{00000000-0004-0000-0200-0000950A0000}"/>
    <hyperlink ref="S2236" r:id="rId2711" xr:uid="{00000000-0004-0000-0200-0000960A0000}"/>
    <hyperlink ref="F2237" r:id="rId2712" xr:uid="{00000000-0004-0000-0200-0000970A0000}"/>
    <hyperlink ref="G2237" r:id="rId2713" xr:uid="{00000000-0004-0000-0200-0000980A0000}"/>
    <hyperlink ref="S2237" r:id="rId2714" xr:uid="{00000000-0004-0000-0200-0000990A0000}"/>
    <hyperlink ref="F2238" r:id="rId2715" xr:uid="{00000000-0004-0000-0200-00009A0A0000}"/>
    <hyperlink ref="G2239" r:id="rId2716" xr:uid="{00000000-0004-0000-0200-00009B0A0000}"/>
    <hyperlink ref="F2240" r:id="rId2717" xr:uid="{00000000-0004-0000-0200-00009C0A0000}"/>
    <hyperlink ref="F2241" r:id="rId2718" xr:uid="{00000000-0004-0000-0200-00009D0A0000}"/>
    <hyperlink ref="G2242" r:id="rId2719" xr:uid="{00000000-0004-0000-0200-00009E0A0000}"/>
    <hyperlink ref="G2243" r:id="rId2720" xr:uid="{00000000-0004-0000-0200-00009F0A0000}"/>
    <hyperlink ref="G2244" r:id="rId2721" xr:uid="{00000000-0004-0000-0200-0000A00A0000}"/>
    <hyperlink ref="F2245" r:id="rId2722" xr:uid="{00000000-0004-0000-0200-0000A10A0000}"/>
    <hyperlink ref="S2245" r:id="rId2723" xr:uid="{00000000-0004-0000-0200-0000A20A0000}"/>
    <hyperlink ref="G2246" r:id="rId2724" xr:uid="{00000000-0004-0000-0200-0000A30A0000}"/>
    <hyperlink ref="F2247" r:id="rId2725" xr:uid="{00000000-0004-0000-0200-0000A40A0000}"/>
    <hyperlink ref="G2248" r:id="rId2726" xr:uid="{00000000-0004-0000-0200-0000A50A0000}"/>
    <hyperlink ref="S2248" r:id="rId2727" xr:uid="{00000000-0004-0000-0200-0000A60A0000}"/>
    <hyperlink ref="G2250" r:id="rId2728" xr:uid="{00000000-0004-0000-0200-0000A70A0000}"/>
    <hyperlink ref="F2252" r:id="rId2729" xr:uid="{00000000-0004-0000-0200-0000A80A0000}"/>
    <hyperlink ref="F2253" r:id="rId2730" xr:uid="{00000000-0004-0000-0200-0000A90A0000}"/>
    <hyperlink ref="F2254" r:id="rId2731" xr:uid="{00000000-0004-0000-0200-0000AA0A0000}"/>
    <hyperlink ref="F2255" r:id="rId2732" xr:uid="{00000000-0004-0000-0200-0000AB0A0000}"/>
    <hyperlink ref="G2256" r:id="rId2733" xr:uid="{00000000-0004-0000-0200-0000AC0A0000}"/>
    <hyperlink ref="F2257" r:id="rId2734" xr:uid="{00000000-0004-0000-0200-0000AD0A0000}"/>
    <hyperlink ref="S2257" r:id="rId2735" xr:uid="{00000000-0004-0000-0200-0000AE0A0000}"/>
    <hyperlink ref="F2258" r:id="rId2736" xr:uid="{00000000-0004-0000-0200-0000AF0A0000}"/>
    <hyperlink ref="F2259" r:id="rId2737" xr:uid="{00000000-0004-0000-0200-0000B00A0000}"/>
    <hyperlink ref="G2259" r:id="rId2738" xr:uid="{00000000-0004-0000-0200-0000B10A0000}"/>
    <hyperlink ref="S2259" r:id="rId2739" xr:uid="{00000000-0004-0000-0200-0000B20A0000}"/>
    <hyperlink ref="G2260" r:id="rId2740" xr:uid="{00000000-0004-0000-0200-0000B30A0000}"/>
    <hyperlink ref="S2260" r:id="rId2741" xr:uid="{00000000-0004-0000-0200-0000B40A0000}"/>
    <hyperlink ref="F2261" r:id="rId2742" xr:uid="{00000000-0004-0000-0200-0000B50A0000}"/>
    <hyperlink ref="G2261" r:id="rId2743" xr:uid="{00000000-0004-0000-0200-0000B60A0000}"/>
    <hyperlink ref="S2261" r:id="rId2744" xr:uid="{00000000-0004-0000-0200-0000B70A0000}"/>
    <hyperlink ref="F2262" r:id="rId2745" xr:uid="{00000000-0004-0000-0200-0000B80A0000}"/>
    <hyperlink ref="S2262" r:id="rId2746" xr:uid="{00000000-0004-0000-0200-0000B90A0000}"/>
    <hyperlink ref="G2263" r:id="rId2747" xr:uid="{00000000-0004-0000-0200-0000BA0A0000}"/>
    <hyperlink ref="F2264" r:id="rId2748" xr:uid="{00000000-0004-0000-0200-0000BB0A0000}"/>
    <hyperlink ref="F2266" r:id="rId2749" xr:uid="{00000000-0004-0000-0200-0000BC0A0000}"/>
    <hyperlink ref="G2266" r:id="rId2750" xr:uid="{00000000-0004-0000-0200-0000BD0A0000}"/>
    <hyperlink ref="G2267" r:id="rId2751" xr:uid="{00000000-0004-0000-0200-0000BE0A0000}"/>
    <hyperlink ref="S2267" r:id="rId2752" xr:uid="{00000000-0004-0000-0200-0000BF0A0000}"/>
    <hyperlink ref="S2269" r:id="rId2753" xr:uid="{00000000-0004-0000-0200-0000C00A0000}"/>
    <hyperlink ref="F2270" r:id="rId2754" xr:uid="{00000000-0004-0000-0200-0000C10A0000}"/>
    <hyperlink ref="G2270" r:id="rId2755" xr:uid="{00000000-0004-0000-0200-0000C20A0000}"/>
    <hyperlink ref="S2270" r:id="rId2756" xr:uid="{00000000-0004-0000-0200-0000C30A0000}"/>
    <hyperlink ref="S2271" r:id="rId2757" xr:uid="{00000000-0004-0000-0200-0000C40A0000}"/>
    <hyperlink ref="F2272" r:id="rId2758" xr:uid="{00000000-0004-0000-0200-0000C50A0000}"/>
    <hyperlink ref="G2272" r:id="rId2759" xr:uid="{00000000-0004-0000-0200-0000C60A0000}"/>
    <hyperlink ref="F2273" r:id="rId2760" xr:uid="{00000000-0004-0000-0200-0000C70A0000}"/>
    <hyperlink ref="F2274" r:id="rId2761" xr:uid="{00000000-0004-0000-0200-0000C80A0000}"/>
    <hyperlink ref="S2274" r:id="rId2762" xr:uid="{00000000-0004-0000-0200-0000C90A0000}"/>
    <hyperlink ref="F2275" r:id="rId2763" xr:uid="{00000000-0004-0000-0200-0000CA0A0000}"/>
    <hyperlink ref="G2275" r:id="rId2764" xr:uid="{00000000-0004-0000-0200-0000CB0A0000}"/>
    <hyperlink ref="F2276" r:id="rId2765" xr:uid="{00000000-0004-0000-0200-0000CC0A0000}"/>
    <hyperlink ref="F2277" r:id="rId2766" xr:uid="{00000000-0004-0000-0200-0000CD0A0000}"/>
    <hyperlink ref="F2278" r:id="rId2767" xr:uid="{00000000-0004-0000-0200-0000CE0A0000}"/>
    <hyperlink ref="S2279" r:id="rId2768" xr:uid="{00000000-0004-0000-0200-0000CF0A0000}"/>
    <hyperlink ref="S2280" r:id="rId2769" xr:uid="{00000000-0004-0000-0200-0000D00A0000}"/>
    <hyperlink ref="F2282" r:id="rId2770" xr:uid="{00000000-0004-0000-0200-0000D10A0000}"/>
    <hyperlink ref="S2282" r:id="rId2771" xr:uid="{00000000-0004-0000-0200-0000D20A0000}"/>
    <hyperlink ref="S2283" r:id="rId2772" xr:uid="{00000000-0004-0000-0200-0000D30A0000}"/>
    <hyperlink ref="F2284" r:id="rId2773" xr:uid="{00000000-0004-0000-0200-0000D40A0000}"/>
    <hyperlink ref="F2286" r:id="rId2774" xr:uid="{00000000-0004-0000-0200-0000D50A0000}"/>
    <hyperlink ref="F2287" r:id="rId2775" xr:uid="{00000000-0004-0000-0200-0000D60A0000}"/>
    <hyperlink ref="F2288" r:id="rId2776" xr:uid="{00000000-0004-0000-0200-0000D70A0000}"/>
    <hyperlink ref="F2289" r:id="rId2777" xr:uid="{00000000-0004-0000-0200-0000D80A0000}"/>
    <hyperlink ref="F2290" r:id="rId2778" xr:uid="{00000000-0004-0000-0200-0000D90A0000}"/>
    <hyperlink ref="F2293" r:id="rId2779" xr:uid="{00000000-0004-0000-0200-0000DA0A0000}"/>
    <hyperlink ref="F2294" r:id="rId2780" xr:uid="{00000000-0004-0000-0200-0000DB0A0000}"/>
    <hyperlink ref="S2294" r:id="rId2781" xr:uid="{00000000-0004-0000-0200-0000DC0A0000}"/>
    <hyperlink ref="G2295" r:id="rId2782" xr:uid="{00000000-0004-0000-0200-0000DD0A0000}"/>
    <hyperlink ref="G2296" r:id="rId2783" xr:uid="{00000000-0004-0000-0200-0000DE0A0000}"/>
    <hyperlink ref="S2296" r:id="rId2784" xr:uid="{00000000-0004-0000-0200-0000DF0A0000}"/>
    <hyperlink ref="G2297" r:id="rId2785" xr:uid="{00000000-0004-0000-0200-0000E00A0000}"/>
    <hyperlink ref="S2297" r:id="rId2786" xr:uid="{00000000-0004-0000-0200-0000E10A0000}"/>
    <hyperlink ref="G2299" r:id="rId2787" xr:uid="{00000000-0004-0000-0200-0000E20A0000}"/>
    <hyperlink ref="F2300" r:id="rId2788" location="Echobox=1542727079" xr:uid="{00000000-0004-0000-0200-0000E30A0000}"/>
    <hyperlink ref="F2301" r:id="rId2789" xr:uid="{00000000-0004-0000-0200-0000E40A0000}"/>
    <hyperlink ref="S2303" r:id="rId2790" xr:uid="{00000000-0004-0000-0200-0000E50A0000}"/>
    <hyperlink ref="F2304" r:id="rId2791" location=".W_QuYXvVRA4.twitter" xr:uid="{00000000-0004-0000-0200-0000E60A0000}"/>
    <hyperlink ref="F2305" r:id="rId2792" xr:uid="{00000000-0004-0000-0200-0000E70A0000}"/>
    <hyperlink ref="S2305" r:id="rId2793" xr:uid="{00000000-0004-0000-0200-0000E80A0000}"/>
    <hyperlink ref="F2306" r:id="rId2794" location="Echobox=1542727079" xr:uid="{00000000-0004-0000-0200-0000E90A0000}"/>
    <hyperlink ref="F2307" r:id="rId2795" xr:uid="{00000000-0004-0000-0200-0000EA0A0000}"/>
    <hyperlink ref="G2308" r:id="rId2796" xr:uid="{00000000-0004-0000-0200-0000EB0A0000}"/>
    <hyperlink ref="F2309" r:id="rId2797" xr:uid="{00000000-0004-0000-0200-0000EC0A0000}"/>
    <hyperlink ref="S2310" r:id="rId2798" xr:uid="{00000000-0004-0000-0200-0000ED0A0000}"/>
    <hyperlink ref="F2311" r:id="rId2799" xr:uid="{00000000-0004-0000-0200-0000EE0A0000}"/>
    <hyperlink ref="S2311" r:id="rId2800" xr:uid="{00000000-0004-0000-0200-0000EF0A0000}"/>
    <hyperlink ref="F2312" r:id="rId2801" xr:uid="{00000000-0004-0000-0200-0000F00A0000}"/>
    <hyperlink ref="G2312" r:id="rId2802" xr:uid="{00000000-0004-0000-0200-0000F10A0000}"/>
    <hyperlink ref="F2314" r:id="rId2803" xr:uid="{00000000-0004-0000-0200-0000F20A0000}"/>
    <hyperlink ref="G2315" r:id="rId2804" xr:uid="{00000000-0004-0000-0200-0000F30A0000}"/>
    <hyperlink ref="F2317" r:id="rId2805" xr:uid="{00000000-0004-0000-0200-0000F40A0000}"/>
    <hyperlink ref="G2318" r:id="rId2806" xr:uid="{00000000-0004-0000-0200-0000F50A0000}"/>
    <hyperlink ref="S2318" r:id="rId2807" xr:uid="{00000000-0004-0000-0200-0000F60A0000}"/>
    <hyperlink ref="F2319" r:id="rId2808" location="Echobox=1542727079" xr:uid="{00000000-0004-0000-0200-0000F70A0000}"/>
    <hyperlink ref="G2320" r:id="rId2809" xr:uid="{00000000-0004-0000-0200-0000F80A0000}"/>
    <hyperlink ref="S2320" r:id="rId2810" xr:uid="{00000000-0004-0000-0200-0000F90A0000}"/>
    <hyperlink ref="F2321" r:id="rId2811" xr:uid="{00000000-0004-0000-0200-0000FA0A0000}"/>
    <hyperlink ref="F2322" r:id="rId2812" xr:uid="{00000000-0004-0000-0200-0000FB0A0000}"/>
    <hyperlink ref="S2323" r:id="rId2813" xr:uid="{00000000-0004-0000-0200-0000FC0A0000}"/>
    <hyperlink ref="F2324" r:id="rId2814" xr:uid="{00000000-0004-0000-0200-0000FD0A0000}"/>
    <hyperlink ref="G2325" r:id="rId2815" xr:uid="{00000000-0004-0000-0200-0000FE0A0000}"/>
    <hyperlink ref="S2325" r:id="rId2816" xr:uid="{00000000-0004-0000-0200-0000FF0A0000}"/>
    <hyperlink ref="F2326" r:id="rId2817" xr:uid="{00000000-0004-0000-0200-0000000B0000}"/>
    <hyperlink ref="S2326" r:id="rId2818" xr:uid="{00000000-0004-0000-0200-0000010B0000}"/>
    <hyperlink ref="F2328" r:id="rId2819" xr:uid="{00000000-0004-0000-0200-0000020B0000}"/>
    <hyperlink ref="F2329" r:id="rId2820" xr:uid="{00000000-0004-0000-0200-0000030B0000}"/>
    <hyperlink ref="S2329" r:id="rId2821" xr:uid="{00000000-0004-0000-0200-0000040B0000}"/>
    <hyperlink ref="F2330" r:id="rId2822" xr:uid="{00000000-0004-0000-0200-0000050B0000}"/>
    <hyperlink ref="S2330" r:id="rId2823" xr:uid="{00000000-0004-0000-0200-0000060B0000}"/>
    <hyperlink ref="F2331" r:id="rId2824" xr:uid="{00000000-0004-0000-0200-0000070B0000}"/>
    <hyperlink ref="G2331" r:id="rId2825" xr:uid="{00000000-0004-0000-0200-0000080B0000}"/>
    <hyperlink ref="F2333" r:id="rId2826" location="Echobox=1542727079" xr:uid="{00000000-0004-0000-0200-0000090B0000}"/>
    <hyperlink ref="S2333" r:id="rId2827" xr:uid="{00000000-0004-0000-0200-00000A0B0000}"/>
    <hyperlink ref="F2334" r:id="rId2828" xr:uid="{00000000-0004-0000-0200-00000B0B0000}"/>
    <hyperlink ref="S2334" r:id="rId2829" xr:uid="{00000000-0004-0000-0200-00000C0B0000}"/>
    <hyperlink ref="F2336" r:id="rId2830" xr:uid="{00000000-0004-0000-0200-00000D0B0000}"/>
    <hyperlink ref="G2336" r:id="rId2831" xr:uid="{00000000-0004-0000-0200-00000E0B0000}"/>
    <hyperlink ref="F2337" r:id="rId2832" xr:uid="{00000000-0004-0000-0200-00000F0B0000}"/>
    <hyperlink ref="F2339" r:id="rId2833" xr:uid="{00000000-0004-0000-0200-0000100B0000}"/>
    <hyperlink ref="S2339" r:id="rId2834" xr:uid="{00000000-0004-0000-0200-0000110B0000}"/>
    <hyperlink ref="G2340" r:id="rId2835" xr:uid="{00000000-0004-0000-0200-0000120B0000}"/>
    <hyperlink ref="F2341" r:id="rId2836" xr:uid="{00000000-0004-0000-0200-0000130B0000}"/>
    <hyperlink ref="S2341" r:id="rId2837" xr:uid="{00000000-0004-0000-0200-0000140B0000}"/>
    <hyperlink ref="F2342" r:id="rId2838" xr:uid="{00000000-0004-0000-0200-0000150B0000}"/>
    <hyperlink ref="F2344" r:id="rId2839" xr:uid="{00000000-0004-0000-0200-0000160B0000}"/>
    <hyperlink ref="F2345" r:id="rId2840" xr:uid="{00000000-0004-0000-0200-0000170B0000}"/>
    <hyperlink ref="S2345" r:id="rId2841" xr:uid="{00000000-0004-0000-0200-0000180B0000}"/>
    <hyperlink ref="F2346" r:id="rId2842" xr:uid="{00000000-0004-0000-0200-0000190B0000}"/>
    <hyperlink ref="F2347" r:id="rId2843" xr:uid="{00000000-0004-0000-0200-00001A0B0000}"/>
    <hyperlink ref="G2347" r:id="rId2844" xr:uid="{00000000-0004-0000-0200-00001B0B0000}"/>
    <hyperlink ref="S2347" r:id="rId2845" xr:uid="{00000000-0004-0000-0200-00001C0B0000}"/>
    <hyperlink ref="G2348" r:id="rId2846" xr:uid="{00000000-0004-0000-0200-00001D0B0000}"/>
    <hyperlink ref="S2348" r:id="rId2847" xr:uid="{00000000-0004-0000-0200-00001E0B0000}"/>
    <hyperlink ref="F2352" r:id="rId2848" xr:uid="{00000000-0004-0000-0200-00001F0B0000}"/>
    <hyperlink ref="G2352" r:id="rId2849" xr:uid="{00000000-0004-0000-0200-0000200B0000}"/>
    <hyperlink ref="F2353" r:id="rId2850" xr:uid="{00000000-0004-0000-0200-0000210B0000}"/>
    <hyperlink ref="S2353" r:id="rId2851" xr:uid="{00000000-0004-0000-0200-0000220B0000}"/>
    <hyperlink ref="F2354" r:id="rId2852" xr:uid="{00000000-0004-0000-0200-0000230B0000}"/>
    <hyperlink ref="S2354" r:id="rId2853" xr:uid="{00000000-0004-0000-0200-0000240B0000}"/>
    <hyperlink ref="G2355" r:id="rId2854" xr:uid="{00000000-0004-0000-0200-0000250B0000}"/>
    <hyperlink ref="G2356" r:id="rId2855" xr:uid="{00000000-0004-0000-0200-0000260B0000}"/>
    <hyperlink ref="S2356" r:id="rId2856" xr:uid="{00000000-0004-0000-0200-0000270B0000}"/>
    <hyperlink ref="F2357" r:id="rId2857" xr:uid="{00000000-0004-0000-0200-0000280B0000}"/>
    <hyperlink ref="F2358" r:id="rId2858" xr:uid="{00000000-0004-0000-0200-0000290B0000}"/>
    <hyperlink ref="S2358" r:id="rId2859" xr:uid="{00000000-0004-0000-0200-00002A0B0000}"/>
    <hyperlink ref="G2359" r:id="rId2860" xr:uid="{00000000-0004-0000-0200-00002B0B0000}"/>
    <hyperlink ref="F2361" r:id="rId2861" xr:uid="{00000000-0004-0000-0200-00002C0B0000}"/>
    <hyperlink ref="F2363" r:id="rId2862" xr:uid="{00000000-0004-0000-0200-00002D0B0000}"/>
    <hyperlink ref="S2363" r:id="rId2863" xr:uid="{00000000-0004-0000-0200-00002E0B0000}"/>
    <hyperlink ref="F2366" r:id="rId2864" xr:uid="{00000000-0004-0000-0200-00002F0B0000}"/>
    <hyperlink ref="S2366" r:id="rId2865" xr:uid="{00000000-0004-0000-0200-0000300B0000}"/>
    <hyperlink ref="F2367" r:id="rId2866" xr:uid="{00000000-0004-0000-0200-0000310B0000}"/>
    <hyperlink ref="S2367" r:id="rId2867" xr:uid="{00000000-0004-0000-0200-0000320B0000}"/>
    <hyperlink ref="F2368" r:id="rId2868" xr:uid="{00000000-0004-0000-0200-0000330B0000}"/>
    <hyperlink ref="S2368" r:id="rId2869" xr:uid="{00000000-0004-0000-0200-0000340B0000}"/>
    <hyperlink ref="F2369" r:id="rId2870" xr:uid="{00000000-0004-0000-0200-0000350B0000}"/>
    <hyperlink ref="S2369" r:id="rId2871" xr:uid="{00000000-0004-0000-0200-0000360B0000}"/>
    <hyperlink ref="F2370" r:id="rId2872" xr:uid="{00000000-0004-0000-0200-0000370B0000}"/>
    <hyperlink ref="G2370" r:id="rId2873" xr:uid="{00000000-0004-0000-0200-0000380B0000}"/>
    <hyperlink ref="F2371" r:id="rId2874" xr:uid="{00000000-0004-0000-0200-0000390B0000}"/>
    <hyperlink ref="S2371" r:id="rId2875" xr:uid="{00000000-0004-0000-0200-00003A0B0000}"/>
    <hyperlink ref="G2372" r:id="rId2876" xr:uid="{00000000-0004-0000-0200-00003B0B0000}"/>
    <hyperlink ref="F2373" r:id="rId2877" xr:uid="{00000000-0004-0000-0200-00003C0B0000}"/>
    <hyperlink ref="F2374" r:id="rId2878" xr:uid="{00000000-0004-0000-0200-00003D0B0000}"/>
    <hyperlink ref="G2374" r:id="rId2879" xr:uid="{00000000-0004-0000-0200-00003E0B0000}"/>
    <hyperlink ref="S2374" r:id="rId2880" xr:uid="{00000000-0004-0000-0200-00003F0B0000}"/>
    <hyperlink ref="G2375" r:id="rId2881" xr:uid="{00000000-0004-0000-0200-0000400B0000}"/>
    <hyperlink ref="F2376" r:id="rId2882" xr:uid="{00000000-0004-0000-0200-0000410B0000}"/>
    <hyperlink ref="S2376" r:id="rId2883" xr:uid="{00000000-0004-0000-0200-0000420B0000}"/>
    <hyperlink ref="F2377" r:id="rId2884" xr:uid="{00000000-0004-0000-0200-0000430B0000}"/>
    <hyperlink ref="F2380" r:id="rId2885" xr:uid="{00000000-0004-0000-0200-0000440B0000}"/>
    <hyperlink ref="G2380" r:id="rId2886" xr:uid="{00000000-0004-0000-0200-0000450B0000}"/>
    <hyperlink ref="S2380" r:id="rId2887" xr:uid="{00000000-0004-0000-0200-0000460B0000}"/>
    <hyperlink ref="F2381" r:id="rId2888" xr:uid="{00000000-0004-0000-0200-0000470B0000}"/>
    <hyperlink ref="G2381" r:id="rId2889" xr:uid="{00000000-0004-0000-0200-0000480B0000}"/>
    <hyperlink ref="S2381" r:id="rId2890" xr:uid="{00000000-0004-0000-0200-0000490B0000}"/>
    <hyperlink ref="F2382" r:id="rId2891" xr:uid="{00000000-0004-0000-0200-00004A0B0000}"/>
    <hyperlink ref="S2382" r:id="rId2892" xr:uid="{00000000-0004-0000-0200-00004B0B0000}"/>
    <hyperlink ref="F2383" r:id="rId2893" xr:uid="{00000000-0004-0000-0200-00004C0B0000}"/>
    <hyperlink ref="F2384" r:id="rId2894" xr:uid="{00000000-0004-0000-0200-00004D0B0000}"/>
    <hyperlink ref="F2385" r:id="rId2895" xr:uid="{00000000-0004-0000-0200-00004E0B0000}"/>
    <hyperlink ref="S2385" r:id="rId2896" xr:uid="{00000000-0004-0000-0200-00004F0B0000}"/>
    <hyperlink ref="F2386" r:id="rId2897" xr:uid="{00000000-0004-0000-0200-0000500B0000}"/>
    <hyperlink ref="S2386" r:id="rId2898" xr:uid="{00000000-0004-0000-0200-0000510B0000}"/>
    <hyperlink ref="F2388" r:id="rId2899" xr:uid="{00000000-0004-0000-0200-0000520B0000}"/>
    <hyperlink ref="G2389" r:id="rId2900" xr:uid="{00000000-0004-0000-0200-0000530B0000}"/>
    <hyperlink ref="F2390" r:id="rId2901" xr:uid="{00000000-0004-0000-0200-0000540B0000}"/>
    <hyperlink ref="S2390" r:id="rId2902" xr:uid="{00000000-0004-0000-0200-0000550B0000}"/>
    <hyperlink ref="G2391" r:id="rId2903" xr:uid="{00000000-0004-0000-0200-0000560B0000}"/>
    <hyperlink ref="F2392" r:id="rId2904" xr:uid="{00000000-0004-0000-0200-0000570B0000}"/>
    <hyperlink ref="G2392" r:id="rId2905" xr:uid="{00000000-0004-0000-0200-0000580B0000}"/>
    <hyperlink ref="S2392" r:id="rId2906" xr:uid="{00000000-0004-0000-0200-0000590B0000}"/>
    <hyperlink ref="F2393" r:id="rId2907" xr:uid="{00000000-0004-0000-0200-00005A0B0000}"/>
    <hyperlink ref="F2394" r:id="rId2908" xr:uid="{00000000-0004-0000-0200-00005B0B0000}"/>
    <hyperlink ref="F2395" r:id="rId2909" xr:uid="{00000000-0004-0000-0200-00005C0B0000}"/>
    <hyperlink ref="S2397" r:id="rId2910" xr:uid="{00000000-0004-0000-0200-00005D0B0000}"/>
    <hyperlink ref="G2399" r:id="rId2911" xr:uid="{00000000-0004-0000-0200-00005E0B0000}"/>
    <hyperlink ref="G2400" r:id="rId2912" xr:uid="{00000000-0004-0000-0200-00005F0B0000}"/>
    <hyperlink ref="F2401" r:id="rId2913" xr:uid="{00000000-0004-0000-0200-0000600B0000}"/>
    <hyperlink ref="G2402" r:id="rId2914" xr:uid="{00000000-0004-0000-0200-0000610B0000}"/>
    <hyperlink ref="S2402" r:id="rId2915" xr:uid="{00000000-0004-0000-0200-0000620B0000}"/>
    <hyperlink ref="F2403" r:id="rId2916" xr:uid="{00000000-0004-0000-0200-0000630B0000}"/>
    <hyperlink ref="F2404" r:id="rId2917" xr:uid="{00000000-0004-0000-0200-0000640B0000}"/>
    <hyperlink ref="S2404" r:id="rId2918" xr:uid="{00000000-0004-0000-0200-0000650B0000}"/>
    <hyperlink ref="F2405" r:id="rId2919" location="ns_campaign=rrss-inducido&amp;ns_mchannel=abc-es&amp;ns_source=tw&amp;ns_linkname=noticia-foto&amp;ns_fee=0" xr:uid="{00000000-0004-0000-0200-0000660B0000}"/>
    <hyperlink ref="F2406" r:id="rId2920" xr:uid="{00000000-0004-0000-0200-0000670B0000}"/>
    <hyperlink ref="F2407" r:id="rId2921" xr:uid="{00000000-0004-0000-0200-0000680B0000}"/>
    <hyperlink ref="F2408" r:id="rId2922" xr:uid="{00000000-0004-0000-0200-0000690B0000}"/>
    <hyperlink ref="F2409" r:id="rId2923" xr:uid="{00000000-0004-0000-0200-00006A0B0000}"/>
    <hyperlink ref="S2409" r:id="rId2924" xr:uid="{00000000-0004-0000-0200-00006B0B0000}"/>
    <hyperlink ref="G2410" r:id="rId2925" xr:uid="{00000000-0004-0000-0200-00006C0B0000}"/>
    <hyperlink ref="S2410" r:id="rId2926" xr:uid="{00000000-0004-0000-0200-00006D0B0000}"/>
    <hyperlink ref="F2413" r:id="rId2927" xr:uid="{00000000-0004-0000-0200-00006E0B0000}"/>
    <hyperlink ref="G2414" r:id="rId2928" xr:uid="{00000000-0004-0000-0200-00006F0B0000}"/>
    <hyperlink ref="F2415" r:id="rId2929" xr:uid="{00000000-0004-0000-0200-0000700B0000}"/>
    <hyperlink ref="S2415" r:id="rId2930" xr:uid="{00000000-0004-0000-0200-0000710B0000}"/>
    <hyperlink ref="F2417" r:id="rId2931" xr:uid="{00000000-0004-0000-0200-0000720B0000}"/>
    <hyperlink ref="S2417" r:id="rId2932" xr:uid="{00000000-0004-0000-0200-0000730B0000}"/>
    <hyperlink ref="F2418" r:id="rId2933" xr:uid="{00000000-0004-0000-0200-0000740B0000}"/>
    <hyperlink ref="F2420" r:id="rId2934" xr:uid="{00000000-0004-0000-0200-0000750B0000}"/>
    <hyperlink ref="F2422" r:id="rId2935" xr:uid="{00000000-0004-0000-0200-0000760B0000}"/>
    <hyperlink ref="G2422" r:id="rId2936" xr:uid="{00000000-0004-0000-0200-0000770B0000}"/>
    <hyperlink ref="F2423" r:id="rId2937" xr:uid="{00000000-0004-0000-0200-0000780B0000}"/>
    <hyperlink ref="S2423" r:id="rId2938" xr:uid="{00000000-0004-0000-0200-0000790B0000}"/>
    <hyperlink ref="G2424" r:id="rId2939" xr:uid="{00000000-0004-0000-0200-00007A0B0000}"/>
    <hyperlink ref="S2424" r:id="rId2940" xr:uid="{00000000-0004-0000-0200-00007B0B0000}"/>
    <hyperlink ref="F2425" r:id="rId2941" xr:uid="{00000000-0004-0000-0200-00007C0B0000}"/>
    <hyperlink ref="G2428" r:id="rId2942" xr:uid="{00000000-0004-0000-0200-00007D0B0000}"/>
    <hyperlink ref="S2428" r:id="rId2943" xr:uid="{00000000-0004-0000-0200-00007E0B0000}"/>
    <hyperlink ref="G2429" r:id="rId2944" xr:uid="{00000000-0004-0000-0200-00007F0B0000}"/>
    <hyperlink ref="S2429" r:id="rId2945" xr:uid="{00000000-0004-0000-0200-0000800B0000}"/>
    <hyperlink ref="G2430" r:id="rId2946" xr:uid="{00000000-0004-0000-0200-0000810B0000}"/>
    <hyperlink ref="S2430" r:id="rId2947" xr:uid="{00000000-0004-0000-0200-0000820B0000}"/>
    <hyperlink ref="F2431" r:id="rId2948" xr:uid="{00000000-0004-0000-0200-0000830B0000}"/>
    <hyperlink ref="G2431" r:id="rId2949" xr:uid="{00000000-0004-0000-0200-0000840B0000}"/>
    <hyperlink ref="F2432" r:id="rId2950" xr:uid="{00000000-0004-0000-0200-0000850B0000}"/>
    <hyperlink ref="G2432" r:id="rId2951" xr:uid="{00000000-0004-0000-0200-0000860B0000}"/>
    <hyperlink ref="S2432" r:id="rId2952" xr:uid="{00000000-0004-0000-0200-0000870B0000}"/>
    <hyperlink ref="F2433" r:id="rId2953" xr:uid="{00000000-0004-0000-0200-0000880B0000}"/>
    <hyperlink ref="S2433" r:id="rId2954" xr:uid="{00000000-0004-0000-0200-0000890B0000}"/>
    <hyperlink ref="G2437" r:id="rId2955" xr:uid="{00000000-0004-0000-0200-00008A0B0000}"/>
    <hyperlink ref="S2438" r:id="rId2956" xr:uid="{00000000-0004-0000-0200-00008B0B0000}"/>
    <hyperlink ref="F2439" r:id="rId2957" xr:uid="{00000000-0004-0000-0200-00008C0B0000}"/>
    <hyperlink ref="S2439" r:id="rId2958" xr:uid="{00000000-0004-0000-0200-00008D0B0000}"/>
    <hyperlink ref="S2442" r:id="rId2959" xr:uid="{00000000-0004-0000-0200-00008E0B0000}"/>
    <hyperlink ref="F2444" r:id="rId2960" xr:uid="{00000000-0004-0000-0200-00008F0B0000}"/>
    <hyperlink ref="G2444" r:id="rId2961" xr:uid="{00000000-0004-0000-0200-0000900B0000}"/>
    <hyperlink ref="S2445" r:id="rId2962" xr:uid="{00000000-0004-0000-0200-0000910B0000}"/>
    <hyperlink ref="S2450" r:id="rId2963" xr:uid="{00000000-0004-0000-0200-0000920B0000}"/>
    <hyperlink ref="F2452" r:id="rId2964" xr:uid="{00000000-0004-0000-0200-0000930B0000}"/>
    <hyperlink ref="G2452" r:id="rId2965" xr:uid="{00000000-0004-0000-0200-0000940B0000}"/>
    <hyperlink ref="S2453" r:id="rId2966" xr:uid="{00000000-0004-0000-0200-0000950B0000}"/>
    <hyperlink ref="S2454" r:id="rId2967" xr:uid="{00000000-0004-0000-0200-0000960B0000}"/>
    <hyperlink ref="G2456" r:id="rId2968" xr:uid="{00000000-0004-0000-0200-0000970B0000}"/>
    <hyperlink ref="S2456" r:id="rId2969" xr:uid="{00000000-0004-0000-0200-0000980B0000}"/>
    <hyperlink ref="G2457" r:id="rId2970" xr:uid="{00000000-0004-0000-0200-0000990B0000}"/>
    <hyperlink ref="F2458" r:id="rId2971" xr:uid="{00000000-0004-0000-0200-00009A0B0000}"/>
    <hyperlink ref="G2458" r:id="rId2972" xr:uid="{00000000-0004-0000-0200-00009B0B0000}"/>
    <hyperlink ref="S2459" r:id="rId2973" xr:uid="{00000000-0004-0000-0200-00009C0B0000}"/>
    <hyperlink ref="F2465" r:id="rId2974" xr:uid="{00000000-0004-0000-0200-00009D0B0000}"/>
    <hyperlink ref="G2465" r:id="rId2975" xr:uid="{00000000-0004-0000-0200-00009E0B0000}"/>
    <hyperlink ref="S2465" r:id="rId2976" xr:uid="{00000000-0004-0000-0200-00009F0B0000}"/>
    <hyperlink ref="F2466" r:id="rId2977" xr:uid="{00000000-0004-0000-0200-0000A00B0000}"/>
    <hyperlink ref="G2466" r:id="rId2978" xr:uid="{00000000-0004-0000-0200-0000A10B0000}"/>
    <hyperlink ref="F2468" r:id="rId2979" xr:uid="{00000000-0004-0000-0200-0000A20B0000}"/>
    <hyperlink ref="G2468" r:id="rId2980" xr:uid="{00000000-0004-0000-0200-0000A30B0000}"/>
    <hyperlink ref="G2469" r:id="rId2981" xr:uid="{00000000-0004-0000-0200-0000A40B0000}"/>
    <hyperlink ref="F2472" r:id="rId2982" xr:uid="{00000000-0004-0000-0200-0000A50B0000}"/>
    <hyperlink ref="S2472" r:id="rId2983" xr:uid="{00000000-0004-0000-0200-0000A60B0000}"/>
    <hyperlink ref="G2474" r:id="rId2984" xr:uid="{00000000-0004-0000-0200-0000A70B0000}"/>
    <hyperlink ref="F2475" r:id="rId2985" xr:uid="{00000000-0004-0000-0200-0000A80B0000}"/>
    <hyperlink ref="G2475" r:id="rId2986" xr:uid="{00000000-0004-0000-0200-0000A90B0000}"/>
    <hyperlink ref="S2475" r:id="rId2987" xr:uid="{00000000-0004-0000-0200-0000AA0B0000}"/>
    <hyperlink ref="S2478" r:id="rId2988" xr:uid="{00000000-0004-0000-0200-0000AB0B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"Pablo Iglesias" langes -filter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2018-12-10T18:13:50Z</dcterms:modified>
</cp:coreProperties>
</file>